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3" activeTab="21"/>
  </bookViews>
  <sheets>
    <sheet name="Лист2" sheetId="1" state="hidden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С. Пол. 23" sheetId="11" r:id="rId11"/>
    <sheet name="Г. Исак. 253 кор. 1" sheetId="12" r:id="rId12"/>
    <sheet name="Г. Исак. 253 кор. 2" sheetId="13" r:id="rId13"/>
    <sheet name="Г. Исак, 251" sheetId="14" r:id="rId14"/>
    <sheet name="Г. Исак. 249а" sheetId="15" r:id="rId15"/>
    <sheet name="Попова, 10 корп.1" sheetId="16" r:id="rId16"/>
    <sheet name="Попова, 10 корп. 2" sheetId="17" r:id="rId17"/>
    <sheet name="Монт. 11 корп. 1" sheetId="18" r:id="rId18"/>
    <sheet name="Монт. 11 корп. 2" sheetId="19" r:id="rId19"/>
    <sheet name="В. Кащ. 17 корп. 1" sheetId="20" r:id="rId20"/>
    <sheet name="В. Кащ. 17 корп. 2" sheetId="21" r:id="rId21"/>
    <sheet name="В. Кащ. 16" sheetId="22" r:id="rId22"/>
    <sheet name="Гущ. 160" sheetId="23" r:id="rId23"/>
    <sheet name="Гущ. 154" sheetId="24" r:id="rId24"/>
    <sheet name="Э. Алекс. 70" sheetId="25" r:id="rId25"/>
    <sheet name="Лист24" sheetId="26" state="hidden" r:id="rId26"/>
    <sheet name="Лист25" sheetId="27" state="hidden" r:id="rId27"/>
  </sheets>
  <definedNames/>
  <calcPr fullCalcOnLoad="1"/>
</workbook>
</file>

<file path=xl/sharedStrings.xml><?xml version="1.0" encoding="utf-8"?>
<sst xmlns="http://schemas.openxmlformats.org/spreadsheetml/2006/main" count="1270" uniqueCount="162">
  <si>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</si>
  <si>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</si>
  <si>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</si>
  <si>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</si>
  <si>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</si>
  <si>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</si>
  <si>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</si>
  <si>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</si>
  <si>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</si>
  <si>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</si>
  <si>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</si>
  <si>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</si>
  <si>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</si>
  <si>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</si>
  <si>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</si>
  <si>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</si>
  <si>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</si>
  <si>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</si>
  <si>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</si>
  <si>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</si>
  <si>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</si>
  <si>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</si>
  <si>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</si>
  <si>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</si>
  <si>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</si>
  <si>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</si>
  <si>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</si>
  <si>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</si>
  <si>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</si>
  <si>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</si>
  <si>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</si>
  <si>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</si>
  <si>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</si>
  <si>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</si>
  <si>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</si>
  <si>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</si>
  <si>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</si>
  <si>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</si>
  <si>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</si>
  <si>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</si>
  <si>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</si>
  <si>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</si>
  <si>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</si>
  <si>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</si>
  <si>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</si>
  <si>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</si>
  <si>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</si>
  <si>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</si>
  <si>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</si>
  <si>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</si>
  <si>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</si>
  <si>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</si>
  <si>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</si>
  <si>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</si>
  <si>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</si>
  <si>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</si>
  <si>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</si>
  <si>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</si>
  <si>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</si>
  <si>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</si>
  <si>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</si>
  <si>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</si>
  <si>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</si>
  <si>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</si>
  <si>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</si>
  <si>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</si>
  <si>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</si>
  <si>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</si>
  <si>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</si>
  <si>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</si>
  <si>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</si>
  <si>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</si>
  <si>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</si>
  <si>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</si>
  <si>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</si>
  <si>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</si>
  <si>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</si>
  <si>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</si>
  <si>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</si>
  <si>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</si>
  <si>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</si>
  <si>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</si>
  <si>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</si>
  <si>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</si>
  <si>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</si>
  <si>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</si>
  <si>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</si>
  <si>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</si>
  <si>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</si>
  <si>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</si>
  <si>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</si>
  <si>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</si>
  <si>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</si>
  <si>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</si>
  <si>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</si>
  <si>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</si>
  <si>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</si>
  <si>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</si>
  <si>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</si>
  <si>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</si>
  <si>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</si>
  <si>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</si>
  <si>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</si>
  <si>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</si>
  <si>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</si>
  <si>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</si>
  <si>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</si>
  <si>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</si>
  <si>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</si>
  <si>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</si>
  <si>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</si>
  <si>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</si>
  <si>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</si>
  <si>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</si>
  <si>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</si>
  <si>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</si>
  <si>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</si>
  <si>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</si>
  <si>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</si>
  <si>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</si>
  <si>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</si>
  <si>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</si>
  <si>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</si>
  <si>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</si>
  <si>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</si>
  <si>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</si>
  <si>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</si>
  <si>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</si>
  <si>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</si>
  <si>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</si>
  <si>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</si>
  <si>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</si>
  <si>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</si>
  <si>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</si>
  <si>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</si>
  <si>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</si>
  <si>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</si>
  <si>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</si>
  <si>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</si>
  <si>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</si>
  <si>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</si>
  <si>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</si>
  <si>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</si>
  <si>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</si>
  <si>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</si>
  <si>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</si>
  <si>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</si>
  <si>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</si>
  <si>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</si>
  <si>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</si>
  <si>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</si>
  <si>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3,9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</si>
  <si>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</si>
  <si>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</si>
  <si>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Ориентировочный остаток денежных средств с 2020г.</t>
  </si>
  <si>
    <t>Спил деревьев</t>
  </si>
  <si>
    <t>Прочие расходы</t>
  </si>
  <si>
    <t>План работ и услуг по содержанию и ремонту общего имущества МКД на 2021 год по адресу:                                                                           Юрина,216</t>
  </si>
  <si>
    <t>Ремонт м/п швов</t>
  </si>
  <si>
    <t>Промывка, опрессовка ОС</t>
  </si>
  <si>
    <t>Услуги спец. техники (автовышка)</t>
  </si>
  <si>
    <t>Доплата дворнику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</si>
</sst>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49" fontId="9" fillId="0" borderId="11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2" fontId="14" fillId="0" borderId="10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14" fillId="0" borderId="10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30" fillId="0" borderId="10" xfId="0" applyNumberFormat="1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64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 vertical="center"/>
      <protection/>
    </xf>
    <xf numFmtId="2" fontId="13" fillId="35" borderId="13" xfId="0" applyNumberFormat="1" applyFont="1" applyFill="1" applyBorder="1" applyAlignment="1" applyProtection="1">
      <alignment horizontal="center" vertical="center"/>
      <protection/>
    </xf>
    <xf numFmtId="172" fontId="13" fillId="35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0" xfId="0" applyNumberFormat="1" applyFont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/>
      <protection/>
    </xf>
    <xf numFmtId="2" fontId="14" fillId="0" borderId="20" xfId="0" applyNumberFormat="1" applyFont="1" applyBorder="1" applyAlignment="1" applyProtection="1">
      <alignment wrapText="1"/>
      <protection/>
    </xf>
    <xf numFmtId="2" fontId="14" fillId="0" borderId="21" xfId="0" applyNumberFormat="1" applyFont="1" applyBorder="1" applyAlignment="1" applyProtection="1">
      <alignment wrapText="1"/>
      <protection/>
    </xf>
    <xf numFmtId="2" fontId="14" fillId="0" borderId="22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12" fillId="0" borderId="14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0" fontId="23" fillId="0" borderId="17" xfId="0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2" fontId="2" fillId="0" borderId="11" xfId="0" applyNumberFormat="1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2" fontId="27" fillId="0" borderId="20" xfId="0" applyNumberFormat="1" applyFont="1" applyBorder="1" applyAlignment="1" applyProtection="1">
      <alignment wrapText="1"/>
      <protection/>
    </xf>
    <xf numFmtId="2" fontId="27" fillId="0" borderId="21" xfId="0" applyNumberFormat="1" applyFont="1" applyBorder="1" applyAlignment="1" applyProtection="1">
      <alignment wrapText="1"/>
      <protection/>
    </xf>
    <xf numFmtId="2" fontId="27" fillId="0" borderId="22" xfId="0" applyNumberFormat="1" applyFont="1" applyBorder="1" applyAlignment="1" applyProtection="1">
      <alignment wrapText="1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6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8010525" y="242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8010525" y="2428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3" t="s">
        <v>41</v>
      </c>
      <c r="F1" s="153"/>
      <c r="G1" s="153"/>
    </row>
    <row r="2" spans="1:7" ht="30" customHeight="1">
      <c r="A2" s="154" t="s">
        <v>66</v>
      </c>
      <c r="B2" s="154"/>
      <c r="C2" s="154"/>
      <c r="D2" s="154"/>
      <c r="E2" s="154"/>
      <c r="F2" s="154"/>
      <c r="G2" s="154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55" t="s">
        <v>50</v>
      </c>
      <c r="D4" s="156"/>
      <c r="E4" s="156"/>
      <c r="F4" s="42"/>
    </row>
    <row r="5" spans="2:6" ht="15">
      <c r="B5" s="9" t="s">
        <v>1</v>
      </c>
      <c r="C5" s="157">
        <v>4</v>
      </c>
      <c r="D5" s="158"/>
      <c r="E5" s="158"/>
      <c r="F5" s="43"/>
    </row>
    <row r="6" spans="2:6" ht="15">
      <c r="B6" s="10" t="s">
        <v>2</v>
      </c>
      <c r="C6" s="157">
        <v>7505.5</v>
      </c>
      <c r="D6" s="158"/>
      <c r="E6" s="158"/>
      <c r="F6" s="43"/>
    </row>
    <row r="7" spans="2:6" ht="18.75" customHeight="1">
      <c r="B7" s="39" t="s">
        <v>47</v>
      </c>
      <c r="C7" s="150">
        <v>64200</v>
      </c>
      <c r="D7" s="151"/>
      <c r="E7" s="152"/>
      <c r="F7" s="44"/>
    </row>
    <row r="8" spans="2:4" ht="15">
      <c r="B8" s="56"/>
      <c r="D8" s="38">
        <v>9</v>
      </c>
    </row>
    <row r="9" spans="1:7" ht="15">
      <c r="A9" s="137" t="s">
        <v>3</v>
      </c>
      <c r="B9" s="138"/>
      <c r="C9" s="138"/>
      <c r="D9" s="138"/>
      <c r="E9" s="139"/>
      <c r="F9" s="139"/>
      <c r="G9" s="139"/>
    </row>
    <row r="10" spans="1:7" ht="65.25" customHeight="1">
      <c r="A10" s="140" t="s">
        <v>4</v>
      </c>
      <c r="B10" s="142" t="s">
        <v>5</v>
      </c>
      <c r="C10" s="144" t="s">
        <v>32</v>
      </c>
      <c r="D10" s="146" t="s">
        <v>43</v>
      </c>
      <c r="E10" s="147"/>
      <c r="F10" s="144" t="s">
        <v>80</v>
      </c>
      <c r="G10" s="148" t="s">
        <v>52</v>
      </c>
    </row>
    <row r="11" spans="1:7" ht="45" customHeight="1">
      <c r="A11" s="141"/>
      <c r="B11" s="143"/>
      <c r="C11" s="145"/>
      <c r="D11" s="37" t="s">
        <v>6</v>
      </c>
      <c r="E11" s="45" t="s">
        <v>42</v>
      </c>
      <c r="F11" s="145"/>
      <c r="G11" s="14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32" t="s">
        <v>35</v>
      </c>
      <c r="C44" s="133"/>
      <c r="D44" s="134">
        <f>D43-(C7/12/C6+(D46)/C6)</f>
        <v>19.403493534057016</v>
      </c>
      <c r="E44" s="13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36" t="s">
        <v>34</v>
      </c>
      <c r="C46" s="13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9.75" customHeight="1">
      <c r="A2" s="182" t="s">
        <v>115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116</v>
      </c>
      <c r="D4" s="168"/>
      <c r="E4" s="168"/>
      <c r="F4" s="74"/>
    </row>
    <row r="5" spans="2:6" ht="19.5">
      <c r="B5" s="73" t="s">
        <v>1</v>
      </c>
      <c r="C5" s="184">
        <v>6</v>
      </c>
      <c r="D5" s="185"/>
      <c r="E5" s="185"/>
      <c r="F5" s="77"/>
    </row>
    <row r="6" spans="2:6" ht="19.5">
      <c r="B6" s="78" t="s">
        <v>2</v>
      </c>
      <c r="C6" s="184">
        <v>3926.2</v>
      </c>
      <c r="D6" s="185"/>
      <c r="E6" s="185"/>
      <c r="F6" s="77"/>
    </row>
    <row r="7" spans="2:6" ht="19.5">
      <c r="B7" s="78" t="s">
        <v>89</v>
      </c>
      <c r="C7" s="79">
        <v>1250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404667.58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18217.568</v>
      </c>
      <c r="D17" s="15">
        <v>4.64</v>
      </c>
      <c r="E17" s="15">
        <f>C17*12</f>
        <v>218610.816</v>
      </c>
      <c r="F17" s="15">
        <f>C17*12</f>
        <v>218610.816</v>
      </c>
      <c r="G17" s="40"/>
    </row>
    <row r="18" spans="1:7" ht="18.75">
      <c r="A18" s="95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aca="true" t="shared" si="0" ref="F18:F27">C18*12</f>
        <v>22143.767999999996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0.02827161122714075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244.79166666666666</v>
      </c>
      <c r="D21" s="15">
        <f>C21/C6</f>
        <v>0.06234824172652098</v>
      </c>
      <c r="E21" s="15">
        <f>C7*2.35</f>
        <v>2937.5</v>
      </c>
      <c r="F21" s="15">
        <f t="shared" si="0"/>
        <v>2937.5</v>
      </c>
      <c r="G21" s="3"/>
    </row>
    <row r="22" spans="1:7" ht="18.75">
      <c r="A22" s="104" t="s">
        <v>45</v>
      </c>
      <c r="B22" s="1" t="s">
        <v>85</v>
      </c>
      <c r="C22" s="15">
        <f>E22/12</f>
        <v>168.75000000000003</v>
      </c>
      <c r="D22" s="15">
        <f>C22/C7</f>
        <v>0.135</v>
      </c>
      <c r="E22" s="15">
        <f>C7*1.62</f>
        <v>2025.0000000000002</v>
      </c>
      <c r="F22" s="15">
        <f t="shared" si="0"/>
        <v>2025.0000000000005</v>
      </c>
      <c r="G22" s="3"/>
    </row>
    <row r="23" spans="1:7" s="105" customFormat="1" ht="18.75">
      <c r="A23" s="104"/>
      <c r="B23" s="1" t="s">
        <v>37</v>
      </c>
      <c r="C23" s="15">
        <f>C12*12%/12</f>
        <v>4475.868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04"/>
      <c r="B24" s="1" t="s">
        <v>83</v>
      </c>
      <c r="C24" s="15">
        <f>C12*0.9%/12</f>
        <v>335.6901000000001</v>
      </c>
      <c r="D24" s="15">
        <f>C24/C6</f>
        <v>0.08550000000000002</v>
      </c>
      <c r="E24" s="3">
        <f>C12*0.9%</f>
        <v>4028.281200000001</v>
      </c>
      <c r="F24" s="15">
        <f t="shared" si="0"/>
        <v>4028.2812000000013</v>
      </c>
      <c r="G24" s="3"/>
    </row>
    <row r="25" spans="1:7" s="105" customFormat="1" ht="18.75">
      <c r="A25" s="104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07" customFormat="1" ht="18.75">
      <c r="A26" s="106"/>
      <c r="B26" s="48" t="s">
        <v>108</v>
      </c>
      <c r="C26" s="49">
        <f>E26/12</f>
        <v>337.2229833333334</v>
      </c>
      <c r="D26" s="49">
        <f>E26/C6/12</f>
        <v>0.08589042415906815</v>
      </c>
      <c r="E26" s="50">
        <f>C9*1%</f>
        <v>4046.6758000000004</v>
      </c>
      <c r="F26" s="15">
        <f t="shared" si="0"/>
        <v>4046.675800000001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0.9557842188375528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63.7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6.75" customHeight="1">
      <c r="A2" s="182" t="s">
        <v>117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10</v>
      </c>
      <c r="D5" s="185"/>
      <c r="E5" s="185"/>
      <c r="F5" s="77"/>
    </row>
    <row r="6" spans="2:6" ht="19.5">
      <c r="B6" s="78" t="s">
        <v>2</v>
      </c>
      <c r="C6" s="184">
        <v>17699.1</v>
      </c>
      <c r="D6" s="185"/>
      <c r="E6" s="185"/>
      <c r="F6" s="77"/>
    </row>
    <row r="7" spans="2:6" ht="19.5">
      <c r="B7" s="78" t="s">
        <v>89</v>
      </c>
      <c r="C7" s="79">
        <v>2100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730648.92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82123.824</v>
      </c>
      <c r="D17" s="15">
        <v>4.64</v>
      </c>
      <c r="E17" s="15">
        <f>C17*12</f>
        <v>985485.8879999999</v>
      </c>
      <c r="F17" s="15">
        <f>C17*12</f>
        <v>985485.8879999999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8318.577</v>
      </c>
      <c r="D18" s="15">
        <v>0.47</v>
      </c>
      <c r="E18" s="15">
        <f>C18*12</f>
        <v>99822.924</v>
      </c>
      <c r="F18" s="15">
        <f aca="true" t="shared" si="0" ref="F18:F27">C18*12</f>
        <v>99822.924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0.07627506483380511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0.0062715053307795315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411.25</v>
      </c>
      <c r="D21" s="15">
        <f>C21/C6</f>
        <v>0.02323564475029804</v>
      </c>
      <c r="E21" s="15">
        <f>C7*2.35</f>
        <v>4935</v>
      </c>
      <c r="F21" s="15">
        <f t="shared" si="0"/>
        <v>4935</v>
      </c>
      <c r="G21" s="3"/>
    </row>
    <row r="22" spans="1:7" ht="18.75">
      <c r="A22" s="104" t="s">
        <v>45</v>
      </c>
      <c r="B22" s="1" t="s">
        <v>85</v>
      </c>
      <c r="C22" s="15">
        <f>E22/12</f>
        <v>283.5</v>
      </c>
      <c r="D22" s="15">
        <f>C22/C7</f>
        <v>0.135</v>
      </c>
      <c r="E22" s="15">
        <f>C7*1.62</f>
        <v>3402</v>
      </c>
      <c r="F22" s="15">
        <f t="shared" si="0"/>
        <v>3402</v>
      </c>
      <c r="G22" s="3"/>
    </row>
    <row r="23" spans="1:7" s="105" customFormat="1" ht="18.75">
      <c r="A23" s="104"/>
      <c r="B23" s="1" t="s">
        <v>37</v>
      </c>
      <c r="C23" s="15">
        <f>C12*12%/12</f>
        <v>18053.082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04"/>
      <c r="B24" s="1" t="s">
        <v>83</v>
      </c>
      <c r="C24" s="15">
        <f>C12*0.9%/12</f>
        <v>1353.9811499999998</v>
      </c>
      <c r="D24" s="15">
        <f>C24/C6</f>
        <v>0.0765</v>
      </c>
      <c r="E24" s="3">
        <f>C12*0.9%</f>
        <v>16247.773799999999</v>
      </c>
      <c r="F24" s="15">
        <f t="shared" si="0"/>
        <v>16247.773799999999</v>
      </c>
      <c r="G24" s="3"/>
    </row>
    <row r="25" spans="1:7" s="105" customFormat="1" ht="18.75">
      <c r="A25" s="104"/>
      <c r="B25" s="1" t="s">
        <v>84</v>
      </c>
      <c r="C25" s="15">
        <f>C12*2.5%/12</f>
        <v>3761.0587499999997</v>
      </c>
      <c r="D25" s="15">
        <f>C25/C6</f>
        <v>0.2125</v>
      </c>
      <c r="E25" s="3">
        <f>C25*12</f>
        <v>45132.704999999994</v>
      </c>
      <c r="F25" s="15">
        <f t="shared" si="0"/>
        <v>45132.704999999994</v>
      </c>
      <c r="G25" s="3"/>
    </row>
    <row r="26" spans="1:7" s="107" customFormat="1" ht="18.75">
      <c r="A26" s="106"/>
      <c r="B26" s="48" t="s">
        <v>108</v>
      </c>
      <c r="C26" s="49">
        <f>E26/12</f>
        <v>608.8741000000001</v>
      </c>
      <c r="D26" s="49">
        <f>E26/C6/12</f>
        <v>0.03440141589120351</v>
      </c>
      <c r="E26" s="50">
        <f>C9*1%</f>
        <v>7306.489200000001</v>
      </c>
      <c r="F26" s="15">
        <f t="shared" si="0"/>
        <v>7306.489200000002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0.2120220802187682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1441532.964</v>
      </c>
      <c r="F28" s="14">
        <f>SUM(F17:F27)</f>
        <v>1441532.964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</v>
      </c>
      <c r="F31" s="91">
        <f>E31</f>
        <v>338504.694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4.7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9" customHeight="1">
      <c r="A2" s="182" t="s">
        <v>118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3240.8</v>
      </c>
      <c r="D6" s="185"/>
      <c r="E6" s="185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877130.37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15037.312</v>
      </c>
      <c r="D17" s="15">
        <v>4.64</v>
      </c>
      <c r="E17" s="15">
        <f>C17*12</f>
        <v>180447.744</v>
      </c>
      <c r="F17" s="15">
        <f>C17*12</f>
        <v>180447.744</v>
      </c>
      <c r="G17" s="40"/>
    </row>
    <row r="18" spans="1:7" ht="18.75">
      <c r="A18" s="95" t="s">
        <v>10</v>
      </c>
      <c r="B18" s="18" t="s">
        <v>11</v>
      </c>
      <c r="C18" s="15">
        <f>0.47*C6</f>
        <v>1523.176</v>
      </c>
      <c r="D18" s="15">
        <v>0.47</v>
      </c>
      <c r="E18" s="15">
        <f>C18*12</f>
        <v>18278.112</v>
      </c>
      <c r="F18" s="15">
        <f aca="true" t="shared" si="0" ref="F18:F27">C18*12</f>
        <v>18278.112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0.4165638114045914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0.034250802271044184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0.02477526125236567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3694.512</v>
      </c>
      <c r="D23" s="15">
        <f>C23/C6</f>
        <v>1.14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04"/>
      <c r="B24" s="1" t="s">
        <v>83</v>
      </c>
      <c r="C24" s="15">
        <f>C12*0.9%/12</f>
        <v>277.08840000000004</v>
      </c>
      <c r="D24" s="15">
        <f>C24/C6</f>
        <v>0.0855</v>
      </c>
      <c r="E24" s="3">
        <f>C12*0.9%</f>
        <v>3325.0608000000007</v>
      </c>
      <c r="F24" s="15">
        <f t="shared" si="0"/>
        <v>3325.0608</v>
      </c>
      <c r="G24" s="3"/>
    </row>
    <row r="25" spans="1:7" s="105" customFormat="1" ht="18.75">
      <c r="A25" s="104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</v>
      </c>
      <c r="F25" s="15">
        <f t="shared" si="0"/>
        <v>9236.28</v>
      </c>
      <c r="G25" s="3"/>
    </row>
    <row r="26" spans="1:7" s="107" customFormat="1" ht="18.75">
      <c r="A26" s="106"/>
      <c r="B26" s="48" t="s">
        <v>108</v>
      </c>
      <c r="C26" s="49">
        <f>E26/12</f>
        <v>730.9419750000001</v>
      </c>
      <c r="D26" s="49">
        <f>E26/C6/12</f>
        <v>0.22554368520118487</v>
      </c>
      <c r="E26" s="50">
        <f>C9*1%</f>
        <v>8771.3037</v>
      </c>
      <c r="F26" s="15">
        <f t="shared" si="0"/>
        <v>8771.3037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1.1579239693902739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27381.962041666666</v>
      </c>
      <c r="D28" s="14">
        <f>SUM(D17:D27)</f>
        <v>8.567057529519458</v>
      </c>
      <c r="E28" s="14">
        <f>SUM(E17:E27)</f>
        <v>328583.5445</v>
      </c>
      <c r="F28" s="14">
        <f>SUM(F17:F27)</f>
        <v>328583.5445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3023.4799583333415</v>
      </c>
      <c r="D31" s="91">
        <f>C31/C6</f>
        <v>0.9329424704805422</v>
      </c>
      <c r="E31" s="91">
        <f>C31*12</f>
        <v>36281.7595000001</v>
      </c>
      <c r="F31" s="91">
        <f>E31</f>
        <v>36281.7595000001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7.7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B33" sqref="B3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40.5" customHeight="1">
      <c r="A2" s="182" t="s">
        <v>119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3239.5</v>
      </c>
      <c r="D6" s="185"/>
      <c r="E6" s="185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470383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15031.279999999999</v>
      </c>
      <c r="D17" s="15">
        <v>4.64</v>
      </c>
      <c r="E17" s="15">
        <f>C17*12</f>
        <v>180375.36</v>
      </c>
      <c r="F17" s="15">
        <f>C17*12</f>
        <v>180375.36</v>
      </c>
      <c r="G17" s="40"/>
    </row>
    <row r="18" spans="1:7" ht="18.75">
      <c r="A18" s="95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aca="true" t="shared" si="0" ref="F18:F27">C18*12</f>
        <v>18270.78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0.034264546997993514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0.02478520347790297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04"/>
      <c r="B24" s="1" t="s">
        <v>83</v>
      </c>
      <c r="C24" s="15">
        <f>C12*0.9%/12</f>
        <v>247.82175000000004</v>
      </c>
      <c r="D24" s="15">
        <f>C24/C6</f>
        <v>0.07650000000000001</v>
      </c>
      <c r="E24" s="3">
        <f>C12*0.9%</f>
        <v>2973.8610000000003</v>
      </c>
      <c r="F24" s="15">
        <f t="shared" si="0"/>
        <v>2973.8610000000003</v>
      </c>
      <c r="G24" s="3"/>
    </row>
    <row r="25" spans="1:7" s="105" customFormat="1" ht="18.75">
      <c r="A25" s="104"/>
      <c r="B25" s="1" t="s">
        <v>84</v>
      </c>
      <c r="C25" s="15">
        <f>C12*2.5%/12</f>
        <v>688.3937500000001</v>
      </c>
      <c r="D25" s="15">
        <f>C25/C6</f>
        <v>0.21250000000000002</v>
      </c>
      <c r="E25" s="3">
        <f>C25*12</f>
        <v>8260.725</v>
      </c>
      <c r="F25" s="15">
        <f t="shared" si="0"/>
        <v>8260.725</v>
      </c>
      <c r="G25" s="3"/>
    </row>
    <row r="26" spans="1:7" s="107" customFormat="1" ht="18.75">
      <c r="A26" s="106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1.1583886402222565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26535.577999999994</v>
      </c>
      <c r="D28" s="14">
        <f>SUM(D17:D27)</f>
        <v>8.30917132273499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618.1895000000002</v>
      </c>
      <c r="D31" s="91">
        <f>C31/C6</f>
        <v>0.1908286772650101</v>
      </c>
      <c r="E31" s="91">
        <f>C31*12</f>
        <v>7418.274000000002</v>
      </c>
      <c r="F31" s="91">
        <f>E31</f>
        <v>7418.274000000002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5.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7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42" customHeight="1">
      <c r="A2" s="182" t="s">
        <v>120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7</v>
      </c>
      <c r="D5" s="185"/>
      <c r="E5" s="185"/>
      <c r="F5" s="77"/>
    </row>
    <row r="6" spans="2:6" ht="19.5">
      <c r="B6" s="78" t="s">
        <v>2</v>
      </c>
      <c r="C6" s="184">
        <v>13949.96</v>
      </c>
      <c r="D6" s="185"/>
      <c r="E6" s="185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513570.08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64727.81439999999</v>
      </c>
      <c r="D17" s="15">
        <v>4.64</v>
      </c>
      <c r="E17" s="15">
        <f>C17*12</f>
        <v>776733.7727999999</v>
      </c>
      <c r="F17" s="15">
        <f>C17*12</f>
        <v>776733.7727999999</v>
      </c>
      <c r="G17" s="40"/>
    </row>
    <row r="18" spans="1:7" ht="18.75">
      <c r="A18" s="95" t="s">
        <v>10</v>
      </c>
      <c r="B18" s="18" t="s">
        <v>11</v>
      </c>
      <c r="C18" s="15">
        <f>0.47*C6</f>
        <v>6556.481199999999</v>
      </c>
      <c r="D18" s="15">
        <v>0.47</v>
      </c>
      <c r="E18" s="15">
        <f>C18*12</f>
        <v>78677.7744</v>
      </c>
      <c r="F18" s="15">
        <f aca="true" t="shared" si="0" ref="F18:F27">C18*12</f>
        <v>78677.7744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0.09677447103790979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0.007957012063117027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0.020636259888917246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C22/C7</f>
        <v>0.135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14228.9592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04"/>
      <c r="B24" s="1" t="s">
        <v>83</v>
      </c>
      <c r="C24" s="15">
        <f>C12*0.9%/12</f>
        <v>1067.17194</v>
      </c>
      <c r="D24" s="15">
        <f>C24/C6</f>
        <v>0.0765</v>
      </c>
      <c r="E24" s="3">
        <f>C12*0.9%</f>
        <v>12806.06328</v>
      </c>
      <c r="F24" s="15">
        <f t="shared" si="0"/>
        <v>12806.063279999998</v>
      </c>
      <c r="G24" s="3"/>
    </row>
    <row r="25" spans="1:7" s="105" customFormat="1" ht="18.75">
      <c r="A25" s="104"/>
      <c r="B25" s="1" t="s">
        <v>84</v>
      </c>
      <c r="C25" s="15">
        <f>C12*2.5%/12</f>
        <v>2964.3665</v>
      </c>
      <c r="D25" s="15">
        <f>C25/C6</f>
        <v>0.21250000000000002</v>
      </c>
      <c r="E25" s="3">
        <f>C25*12</f>
        <v>35572.398</v>
      </c>
      <c r="F25" s="15">
        <f t="shared" si="0"/>
        <v>35572.398</v>
      </c>
      <c r="G25" s="3"/>
    </row>
    <row r="26" spans="1:7" s="107" customFormat="1" ht="18.75">
      <c r="A26" s="106"/>
      <c r="B26" s="48" t="s">
        <v>108</v>
      </c>
      <c r="C26" s="49">
        <f>E26/12</f>
        <v>427.9750666666667</v>
      </c>
      <c r="D26" s="49">
        <f>E26/C6/12</f>
        <v>0.03067930421783767</v>
      </c>
      <c r="E26" s="50">
        <f>C9*1%</f>
        <v>5135.7008000000005</v>
      </c>
      <c r="F26" s="15">
        <f t="shared" si="0"/>
        <v>5135.7008000000005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95672.69330666665</v>
      </c>
      <c r="D28" s="14">
        <f>SUM(D17:D27)</f>
        <v>6.979051402775826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</v>
      </c>
      <c r="F31" s="91">
        <f>E31</f>
        <v>254606.06512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72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zoomScale="78" zoomScaleNormal="78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7.5" customHeight="1">
      <c r="A2" s="182" t="s">
        <v>121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2</v>
      </c>
      <c r="D5" s="185"/>
      <c r="E5" s="185"/>
      <c r="F5" s="77"/>
    </row>
    <row r="6" spans="2:6" ht="19.5">
      <c r="B6" s="78" t="s">
        <v>2</v>
      </c>
      <c r="C6" s="184">
        <v>3950.5</v>
      </c>
      <c r="D6" s="185"/>
      <c r="E6" s="185"/>
      <c r="F6" s="77"/>
    </row>
    <row r="7" spans="2:6" ht="19.5">
      <c r="B7" s="78" t="s">
        <v>89</v>
      </c>
      <c r="C7" s="79">
        <v>420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58919.4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18330.32</v>
      </c>
      <c r="D17" s="15">
        <v>4.64</v>
      </c>
      <c r="E17" s="15">
        <f>C17*12</f>
        <v>219963.84</v>
      </c>
      <c r="F17" s="15">
        <f>C17*12</f>
        <v>219963.84</v>
      </c>
      <c r="G17" s="40"/>
    </row>
    <row r="18" spans="1:7" ht="18.75">
      <c r="A18" s="95" t="s">
        <v>10</v>
      </c>
      <c r="B18" s="18" t="s">
        <v>11</v>
      </c>
      <c r="C18" s="15">
        <f>0.47*C6</f>
        <v>1856.735</v>
      </c>
      <c r="D18" s="15">
        <v>0.47</v>
      </c>
      <c r="E18" s="15">
        <f>C18*12</f>
        <v>22280.82</v>
      </c>
      <c r="F18" s="15">
        <f aca="true" t="shared" si="0" ref="F18:F27">C18*12</f>
        <v>22280.82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0.02809770915074041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82.25</v>
      </c>
      <c r="D21" s="15">
        <f>C21/C6</f>
        <v>0.020820149348183773</v>
      </c>
      <c r="E21" s="15">
        <f>C7*2.35</f>
        <v>987</v>
      </c>
      <c r="F21" s="15">
        <f t="shared" si="0"/>
        <v>987</v>
      </c>
      <c r="G21" s="3"/>
    </row>
    <row r="22" spans="1:7" ht="18.75">
      <c r="A22" s="104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680.4000000000001</v>
      </c>
      <c r="F22" s="15">
        <f t="shared" si="0"/>
        <v>680.4000000000001</v>
      </c>
      <c r="G22" s="3"/>
    </row>
    <row r="23" spans="1:7" s="105" customFormat="1" ht="18.75">
      <c r="A23" s="104"/>
      <c r="B23" s="1" t="s">
        <v>37</v>
      </c>
      <c r="C23" s="15">
        <f>C12*12%/12</f>
        <v>4494.0888</v>
      </c>
      <c r="D23" s="15">
        <f>C23/C6</f>
        <v>1.1376000000000002</v>
      </c>
      <c r="E23" s="3">
        <f>C12*12%</f>
        <v>53929.06560000001</v>
      </c>
      <c r="F23" s="15">
        <f t="shared" si="0"/>
        <v>53929.0656</v>
      </c>
      <c r="G23" s="3"/>
    </row>
    <row r="24" spans="1:7" ht="37.5">
      <c r="A24" s="104"/>
      <c r="B24" s="1" t="s">
        <v>83</v>
      </c>
      <c r="C24" s="15">
        <f>C12*0.9%/12</f>
        <v>337.0566600000001</v>
      </c>
      <c r="D24" s="15">
        <f>C24/C6</f>
        <v>0.08532000000000002</v>
      </c>
      <c r="E24" s="3">
        <f>C12*0.9%</f>
        <v>4044.679920000001</v>
      </c>
      <c r="F24" s="15">
        <f t="shared" si="0"/>
        <v>4044.679920000001</v>
      </c>
      <c r="G24" s="3"/>
    </row>
    <row r="25" spans="1:7" s="105" customFormat="1" ht="18.75">
      <c r="A25" s="104"/>
      <c r="B25" s="1" t="s">
        <v>84</v>
      </c>
      <c r="C25" s="15">
        <f>C12*2.5%/12</f>
        <v>936.2685000000001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07" customFormat="1" ht="18.75">
      <c r="A26" s="106"/>
      <c r="B26" s="48" t="s">
        <v>108</v>
      </c>
      <c r="C26" s="49">
        <f>E26/12</f>
        <v>49.099500000000006</v>
      </c>
      <c r="D26" s="49">
        <f>E26/C6/12</f>
        <v>0.012428679913934947</v>
      </c>
      <c r="E26" s="50">
        <f>C9*1%</f>
        <v>589.1940000000001</v>
      </c>
      <c r="F26" s="15">
        <f t="shared" si="0"/>
        <v>589.1940000000001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27603.518460000003</v>
      </c>
      <c r="D28" s="14">
        <f>SUM(D17:D27)</f>
        <v>7.107995433489432</v>
      </c>
      <c r="E28" s="14">
        <f>SUM(E17:E27)</f>
        <v>331242.2215200001</v>
      </c>
      <c r="F28" s="14">
        <f>SUM(F17:F27)</f>
        <v>331242.2215200001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6.2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zoomScale="76" zoomScaleNormal="76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6" customHeight="1">
      <c r="A2" s="182" t="s">
        <v>122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3241.8</v>
      </c>
      <c r="D6" s="185"/>
      <c r="E6" s="185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402204.66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15041.952</v>
      </c>
      <c r="D17" s="15">
        <v>4.64</v>
      </c>
      <c r="E17" s="15">
        <f>C17*12</f>
        <v>180503.424</v>
      </c>
      <c r="F17" s="15">
        <f>C17*12</f>
        <v>180503.424</v>
      </c>
      <c r="G17" s="40"/>
    </row>
    <row r="18" spans="1:7" ht="18.75">
      <c r="A18" s="95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aca="true" t="shared" si="0" ref="F18:F27">C18*12</f>
        <v>18283.752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0.03424023690542291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0.022351265757706622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3687.87168</v>
      </c>
      <c r="D23" s="15">
        <f>C23/C6</f>
        <v>1.1376</v>
      </c>
      <c r="E23" s="3">
        <f>C12*12%</f>
        <v>44254.46016</v>
      </c>
      <c r="F23" s="15">
        <f t="shared" si="0"/>
        <v>44254.46016</v>
      </c>
      <c r="G23" s="3"/>
    </row>
    <row r="24" spans="1:7" ht="37.5">
      <c r="A24" s="104"/>
      <c r="B24" s="1" t="s">
        <v>83</v>
      </c>
      <c r="C24" s="15">
        <f>C12*0.9%/12</f>
        <v>276.59037600000005</v>
      </c>
      <c r="D24" s="15">
        <f>C24/C6</f>
        <v>0.08532000000000001</v>
      </c>
      <c r="E24" s="3">
        <f>C12*0.9%</f>
        <v>3319.084512000001</v>
      </c>
      <c r="F24" s="15">
        <f t="shared" si="0"/>
        <v>3319.0845120000004</v>
      </c>
      <c r="G24" s="3"/>
    </row>
    <row r="25" spans="1:7" s="105" customFormat="1" ht="18.75">
      <c r="A25" s="104"/>
      <c r="B25" s="1" t="s">
        <v>84</v>
      </c>
      <c r="C25" s="15">
        <f>C12*2.5%/12</f>
        <v>768.3066000000002</v>
      </c>
      <c r="D25" s="15">
        <f>C25/C6</f>
        <v>0.23700000000000004</v>
      </c>
      <c r="E25" s="3">
        <f>C25*12</f>
        <v>9219.679200000002</v>
      </c>
      <c r="F25" s="15">
        <f t="shared" si="0"/>
        <v>9219.679200000002</v>
      </c>
      <c r="G25" s="3"/>
    </row>
    <row r="26" spans="1:7" s="107" customFormat="1" ht="18.75">
      <c r="A26" s="106"/>
      <c r="B26" s="48" t="s">
        <v>108</v>
      </c>
      <c r="C26" s="49">
        <f>E26/12</f>
        <v>335.17055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1.1575667838854955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26969.54553933333</v>
      </c>
      <c r="D28" s="14">
        <f>SUM(D17:D27)</f>
        <v>8.438903861846299</v>
      </c>
      <c r="E28" s="14">
        <f>SUM(E17:E27)</f>
        <v>323634.546472</v>
      </c>
      <c r="F28" s="14">
        <f>SUM(F17:F27)</f>
        <v>323634.546472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</v>
      </c>
      <c r="F31" s="91">
        <f>E31</f>
        <v>40500.30552800003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5.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40.5" customHeight="1">
      <c r="A2" s="182" t="s">
        <v>123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3250.9</v>
      </c>
      <c r="D6" s="185"/>
      <c r="E6" s="185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1362670.02</v>
      </c>
      <c r="D9" s="85"/>
      <c r="E9" s="86"/>
      <c r="F9" s="83"/>
    </row>
    <row r="10" spans="2:5" ht="18.75">
      <c r="B10" s="87" t="s">
        <v>87</v>
      </c>
      <c r="C10" s="88">
        <v>7.5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15084.176</v>
      </c>
      <c r="D17" s="15">
        <v>4.64</v>
      </c>
      <c r="E17" s="15">
        <f>C17*12</f>
        <v>181010.112</v>
      </c>
      <c r="F17" s="15">
        <f>C17*12</f>
        <v>181010.112</v>
      </c>
      <c r="G17" s="40"/>
    </row>
    <row r="18" spans="1:7" ht="18.75">
      <c r="A18" s="95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</v>
      </c>
      <c r="F18" s="15">
        <f aca="true" t="shared" si="0" ref="F18:F27">C18*12</f>
        <v>18335.076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0.4152696176443446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0.03414439078409056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0.022288699539614668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2925.81</v>
      </c>
      <c r="D23" s="15">
        <f>C23/C6</f>
        <v>0.8999999999999999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04"/>
      <c r="B24" s="1" t="s">
        <v>83</v>
      </c>
      <c r="C24" s="15">
        <f>C12*0.9%/12</f>
        <v>219.43575</v>
      </c>
      <c r="D24" s="15">
        <f>C24/C6</f>
        <v>0.0675</v>
      </c>
      <c r="E24" s="3">
        <f>C12*0.9%</f>
        <v>2633.2290000000003</v>
      </c>
      <c r="F24" s="15">
        <f t="shared" si="0"/>
        <v>2633.2290000000003</v>
      </c>
      <c r="G24" s="3"/>
    </row>
    <row r="25" spans="1:7" s="105" customFormat="1" ht="18.75">
      <c r="A25" s="104"/>
      <c r="B25" s="1" t="s">
        <v>84</v>
      </c>
      <c r="C25" s="15">
        <f>C12*2.5%/12</f>
        <v>609.54375</v>
      </c>
      <c r="D25" s="15">
        <f>C25/C6</f>
        <v>0.1875</v>
      </c>
      <c r="E25" s="3">
        <f>C25*12</f>
        <v>7314.525000000001</v>
      </c>
      <c r="F25" s="15">
        <f t="shared" si="0"/>
        <v>7314.525000000001</v>
      </c>
      <c r="G25" s="3"/>
    </row>
    <row r="26" spans="1:7" s="107" customFormat="1" ht="18.75">
      <c r="A26" s="106"/>
      <c r="B26" s="48" t="s">
        <v>108</v>
      </c>
      <c r="C26" s="49">
        <f>E26/12</f>
        <v>1135.55835</v>
      </c>
      <c r="D26" s="49">
        <f>E26/C6/12</f>
        <v>0.349305838383217</v>
      </c>
      <c r="E26" s="50">
        <f>C9*1%</f>
        <v>13626.700200000001</v>
      </c>
      <c r="F26" s="15">
        <f t="shared" si="0"/>
        <v>13626.7002</v>
      </c>
      <c r="G26" s="50"/>
    </row>
    <row r="27" spans="1:7" ht="18.75">
      <c r="A27" s="104"/>
      <c r="B27" s="1" t="s">
        <v>90</v>
      </c>
      <c r="C27" s="15">
        <v>3752.6</v>
      </c>
      <c r="D27" s="15"/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26838.45518333333</v>
      </c>
      <c r="D28" s="14">
        <f>SUM(D17:D27)</f>
        <v>7.221008546351266</v>
      </c>
      <c r="E28" s="14">
        <f>SUM(E17:E27)</f>
        <v>322061.4622</v>
      </c>
      <c r="F28" s="14">
        <f>SUM(F17:F27)</f>
        <v>322061.4622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906.9733166666698</v>
      </c>
      <c r="D31" s="91">
        <f>C31/C6</f>
        <v>0.2789914536487341</v>
      </c>
      <c r="E31" s="91">
        <f>C31*12</f>
        <v>10883.679800000038</v>
      </c>
      <c r="F31" s="91">
        <f>E31</f>
        <v>10883.679800000038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1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7.5" customHeight="1">
      <c r="A2" s="182" t="s">
        <v>124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3252.6</v>
      </c>
      <c r="D6" s="185"/>
      <c r="E6" s="185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952540.02</v>
      </c>
      <c r="D9" s="85"/>
      <c r="E9" s="86"/>
      <c r="F9" s="83"/>
    </row>
    <row r="10" spans="2:5" ht="18.75">
      <c r="B10" s="87" t="s">
        <v>87</v>
      </c>
      <c r="C10" s="88">
        <v>10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15092.063999999998</v>
      </c>
      <c r="D17" s="15">
        <v>4.64</v>
      </c>
      <c r="E17" s="15">
        <f>C17*12</f>
        <v>181104.76799999998</v>
      </c>
      <c r="F17" s="15">
        <f>C17*12</f>
        <v>181104.76799999998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</v>
      </c>
      <c r="F18" s="15">
        <f aca="true" t="shared" si="0" ref="F18:F27">C18*12</f>
        <v>18344.664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0.034126544917911825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0.022156633667425037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04"/>
      <c r="B24" s="1" t="s">
        <v>83</v>
      </c>
      <c r="C24" s="15">
        <f>C12*0.9%/12</f>
        <v>292.73400000000004</v>
      </c>
      <c r="D24" s="15">
        <f>C24/C6</f>
        <v>0.09000000000000001</v>
      </c>
      <c r="E24" s="3">
        <f>C12*0.9%</f>
        <v>3512.8080000000004</v>
      </c>
      <c r="F24" s="15">
        <f t="shared" si="0"/>
        <v>3512.8080000000004</v>
      </c>
      <c r="G24" s="3"/>
    </row>
    <row r="25" spans="1:7" s="105" customFormat="1" ht="18.75">
      <c r="A25" s="104"/>
      <c r="B25" s="1" t="s">
        <v>84</v>
      </c>
      <c r="C25" s="15">
        <f>C12*2.5%/12</f>
        <v>813.1500000000001</v>
      </c>
      <c r="D25" s="15">
        <f>C25/C6</f>
        <v>0.25000000000000006</v>
      </c>
      <c r="E25" s="3">
        <f>C25*12</f>
        <v>9757.800000000001</v>
      </c>
      <c r="F25" s="15">
        <f t="shared" si="0"/>
        <v>9757.800000000001</v>
      </c>
      <c r="G25" s="3"/>
    </row>
    <row r="26" spans="1:7" s="107" customFormat="1" ht="18.75">
      <c r="A26" s="106"/>
      <c r="B26" s="48" t="s">
        <v>108</v>
      </c>
      <c r="C26" s="49">
        <f>E26/12</f>
        <v>793.78335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1.153723175305909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27758.920016666667</v>
      </c>
      <c r="D28" s="14">
        <f>SUM(D17:D27)</f>
        <v>8.654104721351125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</v>
      </c>
      <c r="F31" s="91">
        <f>E31</f>
        <v>52531.90779999997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1.7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40.5" customHeight="1">
      <c r="A2" s="182" t="s">
        <v>125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3248</v>
      </c>
      <c r="D6" s="185"/>
      <c r="E6" s="185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1138096.23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15070.72</v>
      </c>
      <c r="D17" s="15">
        <v>4.64</v>
      </c>
      <c r="E17" s="15">
        <f>C17*12</f>
        <v>180848.63999999998</v>
      </c>
      <c r="F17" s="15">
        <f>C17*12</f>
        <v>180848.63999999998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aca="true" t="shared" si="0" ref="F18:F27">C18*12</f>
        <v>18318.72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0.03417487684729064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0.022188013136289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3702.72</v>
      </c>
      <c r="D23" s="15">
        <f>C23/C6</f>
        <v>1.14</v>
      </c>
      <c r="E23" s="3">
        <f>C12*12%</f>
        <v>44432.64</v>
      </c>
      <c r="F23" s="15">
        <f t="shared" si="0"/>
        <v>44432.64</v>
      </c>
      <c r="G23" s="3"/>
    </row>
    <row r="24" spans="1:7" ht="37.5">
      <c r="A24" s="104"/>
      <c r="B24" s="1" t="s">
        <v>83</v>
      </c>
      <c r="C24" s="15">
        <f>C12*0.9%/12</f>
        <v>277.704</v>
      </c>
      <c r="D24" s="15">
        <f>C24/C6</f>
        <v>0.0855</v>
      </c>
      <c r="E24" s="3">
        <f>C12*0.9%</f>
        <v>3332.4480000000003</v>
      </c>
      <c r="F24" s="15">
        <f t="shared" si="0"/>
        <v>3332.4480000000003</v>
      </c>
      <c r="G24" s="3"/>
    </row>
    <row r="25" spans="1:7" s="105" customFormat="1" ht="18.75">
      <c r="A25" s="104"/>
      <c r="B25" s="1" t="s">
        <v>84</v>
      </c>
      <c r="C25" s="15">
        <f>C12*2.5%/12</f>
        <v>771.4000000000001</v>
      </c>
      <c r="D25" s="15">
        <f>C25/C6</f>
        <v>0.23750000000000002</v>
      </c>
      <c r="E25" s="3">
        <f>C25*12</f>
        <v>9256.800000000001</v>
      </c>
      <c r="F25" s="15">
        <f t="shared" si="0"/>
        <v>9256.800000000001</v>
      </c>
      <c r="G25" s="3"/>
    </row>
    <row r="26" spans="1:7" s="107" customFormat="1" ht="18.75">
      <c r="A26" s="106"/>
      <c r="B26" s="48" t="s">
        <v>108</v>
      </c>
      <c r="C26" s="49">
        <f>E26/12</f>
        <v>948.4135249999999</v>
      </c>
      <c r="D26" s="49">
        <f>E26/C6/12</f>
        <v>0.2919992379926108</v>
      </c>
      <c r="E26" s="50">
        <f>C9*1%</f>
        <v>11380.9623</v>
      </c>
      <c r="F26" s="15">
        <f t="shared" si="0"/>
        <v>11380.9623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1.1553571428571427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27632.864191666667</v>
      </c>
      <c r="D28" s="14">
        <f>SUM(D17:D27)</f>
        <v>8.627359664922002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2834.335808333337</v>
      </c>
      <c r="D31" s="91">
        <f>C31/C6</f>
        <v>0.8726403350779978</v>
      </c>
      <c r="E31" s="91">
        <f>C31*12</f>
        <v>34012.02970000004</v>
      </c>
      <c r="F31" s="91">
        <f>E31</f>
        <v>34012.02970000004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2.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3">
      <selection activeCell="I27" sqref="I2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5.25" customHeight="1">
      <c r="A2" s="182" t="s">
        <v>109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6</v>
      </c>
      <c r="D5" s="185"/>
      <c r="E5" s="185"/>
      <c r="F5" s="77"/>
    </row>
    <row r="6" spans="2:6" ht="19.5">
      <c r="B6" s="78" t="s">
        <v>2</v>
      </c>
      <c r="C6" s="184">
        <v>11183.8</v>
      </c>
      <c r="D6" s="185"/>
      <c r="E6" s="185"/>
      <c r="F6" s="77"/>
    </row>
    <row r="7" spans="2:6" ht="19.5">
      <c r="B7" s="78" t="s">
        <v>89</v>
      </c>
      <c r="C7" s="79">
        <v>1260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640304.4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1140747.5999999999</v>
      </c>
      <c r="D12" s="66">
        <f>C12/12</f>
        <v>95062.29999999999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51892.831999999995</v>
      </c>
      <c r="D17" s="15">
        <v>4.64</v>
      </c>
      <c r="E17" s="15">
        <f>C17*12</f>
        <v>622713.9839999999</v>
      </c>
      <c r="F17" s="15">
        <f>C17*12</f>
        <v>622713.9839999999</v>
      </c>
      <c r="G17" s="40"/>
    </row>
    <row r="18" spans="1:7" ht="18.75">
      <c r="A18" s="95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63076.632</v>
      </c>
      <c r="F18" s="15">
        <f aca="true" t="shared" si="0" ref="F18:F27">C18*12</f>
        <v>63076.632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0.009925070190811711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246.75</v>
      </c>
      <c r="D21" s="15">
        <f>E21/C6</f>
        <v>0.2647579534684097</v>
      </c>
      <c r="E21" s="15">
        <f>C7*2.35</f>
        <v>2961</v>
      </c>
      <c r="F21" s="15">
        <f t="shared" si="0"/>
        <v>2961</v>
      </c>
      <c r="G21" s="3"/>
    </row>
    <row r="22" spans="1:7" ht="18.75">
      <c r="A22" s="104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05" customFormat="1" ht="18.75">
      <c r="A23" s="104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04"/>
      <c r="B24" s="1" t="s">
        <v>83</v>
      </c>
      <c r="C24" s="15">
        <f>C12*0.9%/12</f>
        <v>855.5607</v>
      </c>
      <c r="D24" s="15">
        <f>C24/C6</f>
        <v>0.0765</v>
      </c>
      <c r="E24" s="3">
        <f>C12*0.9%</f>
        <v>10266.7284</v>
      </c>
      <c r="F24" s="15">
        <f t="shared" si="0"/>
        <v>10266.7284</v>
      </c>
      <c r="G24" s="3"/>
    </row>
    <row r="25" spans="1:7" s="105" customFormat="1" ht="18.75">
      <c r="A25" s="104"/>
      <c r="B25" s="1" t="s">
        <v>84</v>
      </c>
      <c r="C25" s="15">
        <f>C12*2.5%/12</f>
        <v>2376.5575</v>
      </c>
      <c r="D25" s="15">
        <f>C25/C6</f>
        <v>0.2125</v>
      </c>
      <c r="E25" s="3">
        <f>C25*12</f>
        <v>28518.69</v>
      </c>
      <c r="F25" s="15">
        <f t="shared" si="0"/>
        <v>28518.69</v>
      </c>
      <c r="G25" s="3"/>
    </row>
    <row r="26" spans="1:7" s="107" customFormat="1" ht="18.75">
      <c r="A26" s="106"/>
      <c r="B26" s="48" t="s">
        <v>108</v>
      </c>
      <c r="C26" s="49">
        <f>E26/12</f>
        <v>533.5870000000001</v>
      </c>
      <c r="D26" s="49">
        <f>E26/C6/12</f>
        <v>0.04771070655769954</v>
      </c>
      <c r="E26" s="50">
        <f>C9*1%</f>
        <v>6403.044000000001</v>
      </c>
      <c r="F26" s="15">
        <f t="shared" si="0"/>
        <v>6403.044000000002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77952.8492</v>
      </c>
      <c r="D28" s="14">
        <f>SUM(D17:D27)</f>
        <v>7.38015694129008</v>
      </c>
      <c r="E28" s="14">
        <f>SUM(E17:E27)</f>
        <v>935434.1903999997</v>
      </c>
      <c r="F28" s="14">
        <f>SUM(F17:F27)</f>
        <v>935434.1903999997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64.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8.25" customHeight="1">
      <c r="A2" s="182" t="s">
        <v>126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3254.9</v>
      </c>
      <c r="D6" s="185"/>
      <c r="E6" s="185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1002604.76</v>
      </c>
      <c r="D9" s="85"/>
      <c r="E9" s="86"/>
      <c r="F9" s="83"/>
    </row>
    <row r="10" spans="2:5" ht="18.75">
      <c r="B10" s="87" t="s">
        <v>87</v>
      </c>
      <c r="C10" s="88">
        <v>11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15102.735999999999</v>
      </c>
      <c r="D17" s="15">
        <v>4.64</v>
      </c>
      <c r="E17" s="15">
        <f>C17*12</f>
        <v>181232.832</v>
      </c>
      <c r="F17" s="15">
        <f>C17*12</f>
        <v>181232.832</v>
      </c>
      <c r="G17" s="40"/>
    </row>
    <row r="18" spans="1:7" ht="18.75">
      <c r="A18" s="95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18357.636</v>
      </c>
      <c r="F18" s="15">
        <f aca="true" t="shared" si="0" ref="F18:F27">C18*12</f>
        <v>18357.636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0.03410243018218686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0.024728102245844725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4296.468</v>
      </c>
      <c r="D23" s="15">
        <f>C23/C6</f>
        <v>1.3199999999999998</v>
      </c>
      <c r="E23" s="3">
        <f>C12*12%</f>
        <v>51557.616</v>
      </c>
      <c r="F23" s="15">
        <f t="shared" si="0"/>
        <v>51557.615999999995</v>
      </c>
      <c r="G23" s="3"/>
    </row>
    <row r="24" spans="1:7" ht="37.5">
      <c r="A24" s="104"/>
      <c r="B24" s="1" t="s">
        <v>83</v>
      </c>
      <c r="C24" s="15">
        <f>C12*0.9%/12</f>
        <v>322.23510000000005</v>
      </c>
      <c r="D24" s="15">
        <f>C24/C6</f>
        <v>0.099</v>
      </c>
      <c r="E24" s="3">
        <f>C12*0.9%</f>
        <v>3866.8212000000008</v>
      </c>
      <c r="F24" s="15">
        <f t="shared" si="0"/>
        <v>3866.8212000000003</v>
      </c>
      <c r="G24" s="3"/>
    </row>
    <row r="25" spans="1:7" s="105" customFormat="1" ht="18.75">
      <c r="A25" s="104"/>
      <c r="B25" s="1" t="s">
        <v>84</v>
      </c>
      <c r="C25" s="15">
        <f>C12*2.5%/12</f>
        <v>895.0975000000002</v>
      </c>
      <c r="D25" s="15">
        <f>C25/C6</f>
        <v>0.2750000000000001</v>
      </c>
      <c r="E25" s="3">
        <f>C25*12</f>
        <v>10741.170000000002</v>
      </c>
      <c r="F25" s="15">
        <f t="shared" si="0"/>
        <v>10741.170000000002</v>
      </c>
      <c r="G25" s="3"/>
    </row>
    <row r="26" spans="1:7" s="107" customFormat="1" ht="18.75">
      <c r="A26" s="106"/>
      <c r="B26" s="48" t="s">
        <v>108</v>
      </c>
      <c r="C26" s="49">
        <f>E26/12</f>
        <v>835.5039666666667</v>
      </c>
      <c r="D26" s="49">
        <f>E26/C6/12</f>
        <v>0.2566911323440556</v>
      </c>
      <c r="E26" s="50">
        <f>C9*1%</f>
        <v>10026.0476</v>
      </c>
      <c r="F26" s="15">
        <f t="shared" si="0"/>
        <v>10026.0476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1.152907923438508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28331.416066666665</v>
      </c>
      <c r="D28" s="14">
        <f>SUM(D17:D27)</f>
        <v>8.822188874210164</v>
      </c>
      <c r="E28" s="14">
        <f>SUM(E17:E27)</f>
        <v>339976.9928</v>
      </c>
      <c r="F28" s="14">
        <f>SUM(F17:F27)</f>
        <v>339976.9928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7088.557433333336</v>
      </c>
      <c r="D31" s="91">
        <f>C31/C6</f>
        <v>2.1778111257898356</v>
      </c>
      <c r="E31" s="91">
        <f>C31*12</f>
        <v>85062.68920000004</v>
      </c>
      <c r="F31" s="91">
        <f>E31</f>
        <v>85062.68920000004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1.7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8.25" customHeight="1">
      <c r="A2" s="182" t="s">
        <v>127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3254</v>
      </c>
      <c r="D6" s="185"/>
      <c r="E6" s="185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1623157.48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15098.56</v>
      </c>
      <c r="D17" s="15">
        <v>4.64</v>
      </c>
      <c r="E17" s="15">
        <f>C17*12</f>
        <v>181182.72</v>
      </c>
      <c r="F17" s="15">
        <f>C17*12</f>
        <v>181182.72</v>
      </c>
      <c r="G17" s="40"/>
    </row>
    <row r="18" spans="1:7" ht="18.75">
      <c r="A18" s="95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aca="true" t="shared" si="0" ref="F18:F27">C18*12</f>
        <v>18352.559999999998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0.4148740012292563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0.034111862323294405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0.02473494161032575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</v>
      </c>
      <c r="F23" s="15">
        <f t="shared" si="0"/>
        <v>44421.0048</v>
      </c>
      <c r="G23" s="3"/>
    </row>
    <row r="24" spans="1:7" ht="37.5">
      <c r="A24" s="104"/>
      <c r="B24" s="1" t="s">
        <v>83</v>
      </c>
      <c r="C24" s="15">
        <f>C12*0.9%/12</f>
        <v>277.63128000000006</v>
      </c>
      <c r="D24" s="15">
        <f>C24/C6</f>
        <v>0.08532000000000002</v>
      </c>
      <c r="E24" s="3">
        <f>C12*0.9%</f>
        <v>3331.5753600000007</v>
      </c>
      <c r="F24" s="15">
        <f t="shared" si="0"/>
        <v>3331.5753600000007</v>
      </c>
      <c r="G24" s="3"/>
    </row>
    <row r="25" spans="1:7" s="105" customFormat="1" ht="18.75">
      <c r="A25" s="104"/>
      <c r="B25" s="1" t="s">
        <v>84</v>
      </c>
      <c r="C25" s="15">
        <f>C12*2.5%/12</f>
        <v>771.1980000000002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07" customFormat="1" ht="18.75">
      <c r="A26" s="106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1.1532267977873387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28080.723413333333</v>
      </c>
      <c r="D28" s="14">
        <f>SUM(D17:D27)</f>
        <v>8.747550219217374</v>
      </c>
      <c r="E28" s="14">
        <f>SUM(E17:E27)</f>
        <v>336968.68096</v>
      </c>
      <c r="F28" s="14">
        <f>SUM(F17:F27)</f>
        <v>336968.68096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4.7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77" zoomScaleNormal="77" zoomScalePageLayoutView="0" workbookViewId="0" topLeftCell="A16">
      <selection activeCell="H32" sqref="H32"/>
    </sheetView>
  </sheetViews>
  <sheetFormatPr defaultColWidth="8.8515625" defaultRowHeight="15"/>
  <cols>
    <col min="1" max="1" width="5.00390625" style="72" customWidth="1"/>
    <col min="2" max="2" width="69.7109375" style="72" customWidth="1"/>
    <col min="3" max="3" width="13.7109375" style="72" customWidth="1"/>
    <col min="4" max="4" width="14.140625" style="72" customWidth="1"/>
    <col min="5" max="5" width="17.57421875" style="72" customWidth="1"/>
    <col min="6" max="6" width="11.140625" style="76" customWidth="1"/>
    <col min="7" max="7" width="12.8515625" style="76" customWidth="1"/>
    <col min="8" max="16384" width="8.8515625" style="76" customWidth="1"/>
  </cols>
  <sheetData>
    <row r="1" ht="18.75">
      <c r="E1" s="127"/>
    </row>
    <row r="2" spans="1:5" ht="36" customHeight="1">
      <c r="A2" s="182" t="s">
        <v>157</v>
      </c>
      <c r="B2" s="182"/>
      <c r="C2" s="182"/>
      <c r="D2" s="182"/>
      <c r="E2" s="182"/>
    </row>
    <row r="3" spans="2:5" ht="19.5">
      <c r="B3" s="96"/>
      <c r="C3" s="97"/>
      <c r="D3" s="97"/>
      <c r="E3" s="97"/>
    </row>
    <row r="4" spans="2:5" ht="19.5">
      <c r="B4" s="73" t="s">
        <v>0</v>
      </c>
      <c r="C4" s="183" t="s">
        <v>150</v>
      </c>
      <c r="D4" s="168"/>
      <c r="E4" s="168"/>
    </row>
    <row r="5" spans="2:5" ht="19.5">
      <c r="B5" s="73" t="s">
        <v>1</v>
      </c>
      <c r="C5" s="184">
        <v>8</v>
      </c>
      <c r="D5" s="185"/>
      <c r="E5" s="185"/>
    </row>
    <row r="6" spans="2:5" ht="19.5">
      <c r="B6" s="78" t="s">
        <v>2</v>
      </c>
      <c r="C6" s="184">
        <v>5753.9</v>
      </c>
      <c r="D6" s="185"/>
      <c r="E6" s="185"/>
    </row>
    <row r="7" spans="2:5" ht="19.5">
      <c r="B7" s="78" t="s">
        <v>89</v>
      </c>
      <c r="C7" s="79">
        <v>1260</v>
      </c>
      <c r="D7" s="80"/>
      <c r="E7" s="81"/>
    </row>
    <row r="8" spans="2:5" ht="19.5">
      <c r="B8" s="92"/>
      <c r="C8" s="178"/>
      <c r="D8" s="179"/>
      <c r="E8" s="180"/>
    </row>
    <row r="9" spans="2:5" ht="19.5">
      <c r="B9" s="82" t="s">
        <v>91</v>
      </c>
      <c r="C9" s="84">
        <v>590222.72</v>
      </c>
      <c r="D9" s="85"/>
      <c r="E9" s="86"/>
    </row>
    <row r="10" spans="2:6" ht="18.75">
      <c r="B10" s="87" t="s">
        <v>87</v>
      </c>
      <c r="C10" s="88">
        <v>9.37</v>
      </c>
      <c r="D10" s="66"/>
      <c r="E10" s="46"/>
      <c r="F10" s="128"/>
    </row>
    <row r="11" spans="2:5" ht="18.75">
      <c r="B11" s="87" t="s">
        <v>93</v>
      </c>
      <c r="C11" s="125">
        <f>D45*12</f>
        <v>12144</v>
      </c>
      <c r="D11" s="66"/>
      <c r="E11" s="46"/>
    </row>
    <row r="12" spans="2:5" ht="18.75">
      <c r="B12" s="87" t="s">
        <v>88</v>
      </c>
      <c r="C12" s="126">
        <f>C6*C10*12</f>
        <v>646968.5159999998</v>
      </c>
      <c r="D12" s="66"/>
      <c r="E12" s="46"/>
    </row>
    <row r="13" spans="1:5" ht="18.75">
      <c r="A13" s="166"/>
      <c r="B13" s="167"/>
      <c r="C13" s="167"/>
      <c r="D13" s="167"/>
      <c r="E13" s="168"/>
    </row>
    <row r="14" spans="1:5" ht="18.75">
      <c r="A14" s="98"/>
      <c r="B14" s="99"/>
      <c r="C14" s="99"/>
      <c r="D14" s="100"/>
      <c r="E14" s="101"/>
    </row>
    <row r="15" spans="1:5" ht="18.75" customHeight="1">
      <c r="A15" s="169" t="s">
        <v>4</v>
      </c>
      <c r="B15" s="142" t="s">
        <v>5</v>
      </c>
      <c r="C15" s="171" t="s">
        <v>32</v>
      </c>
      <c r="D15" s="173" t="s">
        <v>43</v>
      </c>
      <c r="E15" s="174"/>
    </row>
    <row r="16" spans="1:5" ht="56.25">
      <c r="A16" s="170"/>
      <c r="B16" s="143"/>
      <c r="C16" s="172"/>
      <c r="D16" s="94" t="s">
        <v>6</v>
      </c>
      <c r="E16" s="94" t="s">
        <v>42</v>
      </c>
    </row>
    <row r="17" spans="1:5" ht="18.75">
      <c r="A17" s="103" t="s">
        <v>7</v>
      </c>
      <c r="B17" s="13" t="s">
        <v>31</v>
      </c>
      <c r="C17" s="15">
        <f>D17*C6</f>
        <v>26698.095999999998</v>
      </c>
      <c r="D17" s="15">
        <v>4.64</v>
      </c>
      <c r="E17" s="15">
        <f>C17*12</f>
        <v>320377.152</v>
      </c>
    </row>
    <row r="18" spans="1:5" ht="18.75">
      <c r="A18" s="95" t="s">
        <v>10</v>
      </c>
      <c r="B18" s="18" t="s">
        <v>11</v>
      </c>
      <c r="C18" s="15">
        <f>0.67*C6</f>
        <v>3855.113</v>
      </c>
      <c r="D18" s="15">
        <v>0.67</v>
      </c>
      <c r="E18" s="15">
        <f>C18*12</f>
        <v>46261.356</v>
      </c>
    </row>
    <row r="19" spans="1:5" ht="18.75">
      <c r="A19" s="95" t="s">
        <v>12</v>
      </c>
      <c r="B19" s="18" t="s">
        <v>33</v>
      </c>
      <c r="C19" s="15">
        <v>1350</v>
      </c>
      <c r="D19" s="15">
        <f>C19/C6</f>
        <v>0.2346234727749874</v>
      </c>
      <c r="E19" s="15">
        <f>C19*12</f>
        <v>16200</v>
      </c>
    </row>
    <row r="20" spans="1:5" ht="18.75">
      <c r="A20" s="104" t="s">
        <v>13</v>
      </c>
      <c r="B20" s="46"/>
      <c r="C20" s="15"/>
      <c r="D20" s="15">
        <f>C20/C6</f>
        <v>0</v>
      </c>
      <c r="E20" s="3"/>
    </row>
    <row r="21" spans="1:5" ht="18.75">
      <c r="A21" s="104" t="s">
        <v>14</v>
      </c>
      <c r="B21" s="1" t="s">
        <v>38</v>
      </c>
      <c r="C21" s="15">
        <f>E21/12</f>
        <v>105</v>
      </c>
      <c r="D21" s="54">
        <f>C21/C6</f>
        <v>0.018248492326943467</v>
      </c>
      <c r="E21" s="15">
        <f>C7*1</f>
        <v>1260</v>
      </c>
    </row>
    <row r="22" spans="1:5" ht="18.75">
      <c r="A22" s="104" t="s">
        <v>45</v>
      </c>
      <c r="B22" s="1" t="s">
        <v>85</v>
      </c>
      <c r="C22" s="15">
        <f>E22/12</f>
        <v>220.5</v>
      </c>
      <c r="D22" s="54">
        <f>C22/C6</f>
        <v>0.03832183388658128</v>
      </c>
      <c r="E22" s="15">
        <f>C7*2.1</f>
        <v>2646</v>
      </c>
    </row>
    <row r="23" spans="1:5" s="105" customFormat="1" ht="18.75">
      <c r="A23" s="104" t="s">
        <v>131</v>
      </c>
      <c r="B23" s="1" t="s">
        <v>37</v>
      </c>
      <c r="C23" s="15">
        <f>C12*12%/12</f>
        <v>6469.685159999998</v>
      </c>
      <c r="D23" s="15">
        <f>C23/C6</f>
        <v>1.1243999999999998</v>
      </c>
      <c r="E23" s="3">
        <f>C12*12%</f>
        <v>77636.22191999998</v>
      </c>
    </row>
    <row r="24" spans="1:5" ht="37.5">
      <c r="A24" s="104" t="s">
        <v>132</v>
      </c>
      <c r="B24" s="1" t="s">
        <v>83</v>
      </c>
      <c r="C24" s="49">
        <f>C12*0.9%/12</f>
        <v>485.22638699999993</v>
      </c>
      <c r="D24" s="49">
        <f>C24/C6</f>
        <v>0.08432999999999999</v>
      </c>
      <c r="E24" s="50">
        <f>C12*0.9%</f>
        <v>5822.716643999999</v>
      </c>
    </row>
    <row r="25" spans="1:5" s="105" customFormat="1" ht="18.75">
      <c r="A25" s="104" t="s">
        <v>133</v>
      </c>
      <c r="B25" s="1" t="s">
        <v>84</v>
      </c>
      <c r="C25" s="15">
        <f>C12*2.5%/12</f>
        <v>1347.8510749999998</v>
      </c>
      <c r="D25" s="15">
        <f>C25/C6</f>
        <v>0.23424999999999999</v>
      </c>
      <c r="E25" s="3">
        <f>C25*12</f>
        <v>16174.212899999999</v>
      </c>
    </row>
    <row r="26" spans="1:5" s="107" customFormat="1" ht="18.75">
      <c r="A26" s="104" t="s">
        <v>134</v>
      </c>
      <c r="B26" s="48" t="s">
        <v>108</v>
      </c>
      <c r="C26" s="49">
        <f>E26/12</f>
        <v>491.8522666666667</v>
      </c>
      <c r="D26" s="49">
        <f>E26/C6/12</f>
        <v>0.08548154585006112</v>
      </c>
      <c r="E26" s="50">
        <f>C9*1%</f>
        <v>5902.2272</v>
      </c>
    </row>
    <row r="27" spans="1:5" s="109" customFormat="1" ht="18.75">
      <c r="A27" s="108"/>
      <c r="B27" s="66" t="s">
        <v>144</v>
      </c>
      <c r="C27" s="14">
        <f>SUM(C17:C26)</f>
        <v>41023.323888666666</v>
      </c>
      <c r="D27" s="14">
        <f>SUM(D17:D26)</f>
        <v>7.1296553448385716</v>
      </c>
      <c r="E27" s="14">
        <f>SUM(E17:E26)</f>
        <v>492279.886664</v>
      </c>
    </row>
    <row r="28" spans="1:5" ht="37.5">
      <c r="A28" s="104"/>
      <c r="B28" s="90" t="s">
        <v>94</v>
      </c>
      <c r="C28" s="120">
        <f>E28/12</f>
        <v>12890.71911133332</v>
      </c>
      <c r="D28" s="120">
        <f>C28/C6</f>
        <v>2.2403446551614246</v>
      </c>
      <c r="E28" s="120">
        <f>C12-E27</f>
        <v>154688.62933599984</v>
      </c>
    </row>
    <row r="29" spans="1:5" ht="18.75">
      <c r="A29" s="106" t="s">
        <v>135</v>
      </c>
      <c r="B29" s="48" t="s">
        <v>159</v>
      </c>
      <c r="C29" s="15">
        <f aca="true" t="shared" si="0" ref="C29:C38">E29/12</f>
        <v>1333.3333333333333</v>
      </c>
      <c r="D29" s="54">
        <f>C29/C6</f>
        <v>0.23172688669134558</v>
      </c>
      <c r="E29" s="50">
        <v>16000</v>
      </c>
    </row>
    <row r="30" spans="1:5" ht="18.75">
      <c r="A30" s="106" t="s">
        <v>136</v>
      </c>
      <c r="B30" s="48" t="s">
        <v>160</v>
      </c>
      <c r="C30" s="15">
        <f t="shared" si="0"/>
        <v>833.3333333333334</v>
      </c>
      <c r="D30" s="54">
        <f>C30/C6</f>
        <v>0.144829304182091</v>
      </c>
      <c r="E30" s="15">
        <v>10000</v>
      </c>
    </row>
    <row r="31" spans="1:5" ht="18.75">
      <c r="A31" s="106" t="s">
        <v>137</v>
      </c>
      <c r="B31" s="48" t="s">
        <v>155</v>
      </c>
      <c r="C31" s="49">
        <f t="shared" si="0"/>
        <v>5750</v>
      </c>
      <c r="D31" s="54">
        <f>C31/C6</f>
        <v>0.9993221988564279</v>
      </c>
      <c r="E31" s="50">
        <v>69000</v>
      </c>
    </row>
    <row r="32" spans="1:5" ht="18.75">
      <c r="A32" s="106" t="s">
        <v>138</v>
      </c>
      <c r="B32" s="48" t="s">
        <v>161</v>
      </c>
      <c r="C32" s="49">
        <f t="shared" si="0"/>
        <v>5000</v>
      </c>
      <c r="D32" s="54">
        <f>C32/C6</f>
        <v>0.868975825092546</v>
      </c>
      <c r="E32" s="50">
        <v>60000</v>
      </c>
    </row>
    <row r="33" spans="1:5" ht="18.75">
      <c r="A33" s="106" t="s">
        <v>139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106" t="s">
        <v>140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106" t="s">
        <v>141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106" t="s">
        <v>142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106" t="s">
        <v>151</v>
      </c>
      <c r="B37" s="18"/>
      <c r="C37" s="15">
        <f t="shared" si="0"/>
        <v>0</v>
      </c>
      <c r="D37" s="15">
        <f>C37/C6</f>
        <v>0</v>
      </c>
      <c r="E37" s="15"/>
    </row>
    <row r="38" spans="1:5" ht="18.75">
      <c r="A38" s="106"/>
      <c r="B38" s="18"/>
      <c r="C38" s="15">
        <f t="shared" si="0"/>
        <v>0</v>
      </c>
      <c r="D38" s="15">
        <f>C38/C6</f>
        <v>0</v>
      </c>
      <c r="E38" s="15"/>
    </row>
    <row r="39" spans="1:6" ht="18.75">
      <c r="A39" s="95" t="s">
        <v>143</v>
      </c>
      <c r="B39" s="22" t="s">
        <v>148</v>
      </c>
      <c r="C39" s="14">
        <f>SUM(C29:C38)</f>
        <v>12916.666666666666</v>
      </c>
      <c r="D39" s="14">
        <f>SUM(D29:D38)</f>
        <v>2.2448542148224107</v>
      </c>
      <c r="E39" s="14">
        <f>SUM(E29:E38)</f>
        <v>155000</v>
      </c>
      <c r="F39" s="121"/>
    </row>
    <row r="40" spans="1:5" ht="18.75">
      <c r="A40" s="106" t="s">
        <v>145</v>
      </c>
      <c r="B40" s="131" t="s">
        <v>154</v>
      </c>
      <c r="C40" s="129"/>
      <c r="D40" s="130"/>
      <c r="E40" s="129">
        <v>12178.33</v>
      </c>
    </row>
    <row r="41" spans="1:5" ht="18.75">
      <c r="A41" s="106" t="s">
        <v>146</v>
      </c>
      <c r="B41" s="18" t="s">
        <v>158</v>
      </c>
      <c r="C41" s="14"/>
      <c r="D41" s="14"/>
      <c r="E41" s="54">
        <v>12178.33</v>
      </c>
    </row>
    <row r="42" spans="1:5" ht="18" customHeight="1">
      <c r="A42" s="18" t="s">
        <v>147</v>
      </c>
      <c r="B42" s="22" t="s">
        <v>156</v>
      </c>
      <c r="C42" s="23"/>
      <c r="D42" s="15"/>
      <c r="E42" s="23"/>
    </row>
    <row r="43" spans="1:5" ht="33" customHeight="1">
      <c r="A43" s="95"/>
      <c r="B43" s="132" t="s">
        <v>152</v>
      </c>
      <c r="C43" s="177"/>
      <c r="D43" s="122">
        <f>D27+D39</f>
        <v>9.374509559660982</v>
      </c>
      <c r="E43" s="119"/>
    </row>
    <row r="44" spans="1:5" ht="18.75">
      <c r="A44" s="112"/>
      <c r="B44" s="112"/>
      <c r="C44" s="113"/>
      <c r="D44" s="26"/>
      <c r="E44" s="113"/>
    </row>
    <row r="45" spans="1:5" ht="42" customHeight="1">
      <c r="A45" s="112"/>
      <c r="B45" s="123" t="s">
        <v>149</v>
      </c>
      <c r="C45" s="124">
        <v>1150</v>
      </c>
      <c r="D45" s="124">
        <f>C45/100*88</f>
        <v>1012</v>
      </c>
      <c r="E45" s="26"/>
    </row>
    <row r="46" spans="1:5" ht="18.75">
      <c r="A46" s="112"/>
      <c r="B46" s="112"/>
      <c r="C46" s="113"/>
      <c r="D46" s="113"/>
      <c r="E46" s="113"/>
    </row>
    <row r="47" spans="1:5" ht="18.75">
      <c r="A47" s="114"/>
      <c r="B47" s="196" t="s">
        <v>153</v>
      </c>
      <c r="C47" s="197"/>
      <c r="D47" s="197"/>
      <c r="E47" s="198"/>
    </row>
    <row r="48" spans="1:5" ht="60" customHeight="1">
      <c r="A48" s="114"/>
      <c r="B48" s="199"/>
      <c r="C48" s="200"/>
      <c r="D48" s="200"/>
      <c r="E48" s="201"/>
    </row>
    <row r="49" spans="1:5" ht="75" customHeight="1">
      <c r="A49" s="57"/>
      <c r="B49" s="57"/>
      <c r="C49" s="117"/>
      <c r="D49" s="57"/>
      <c r="E49" s="115"/>
    </row>
    <row r="50" spans="1:5" ht="18.75">
      <c r="A50" s="112"/>
      <c r="B50" s="112"/>
      <c r="C50" s="117"/>
      <c r="D50" s="113"/>
      <c r="E50" s="113"/>
    </row>
    <row r="51" spans="1:5" ht="18.75">
      <c r="A51" s="118"/>
      <c r="B51" s="118"/>
      <c r="C51" s="117"/>
      <c r="D51" s="117"/>
      <c r="E51" s="117"/>
    </row>
    <row r="52" spans="1:5" ht="18.75">
      <c r="A52" s="118"/>
      <c r="B52" s="118"/>
      <c r="C52" s="117"/>
      <c r="D52" s="117"/>
      <c r="E52" s="117"/>
    </row>
    <row r="53" spans="1:5" ht="18.75">
      <c r="A53" s="118"/>
      <c r="B53" s="118"/>
      <c r="C53" s="117"/>
      <c r="D53" s="117"/>
      <c r="E53" s="117"/>
    </row>
    <row r="54" spans="1:5" ht="18.75">
      <c r="A54" s="118"/>
      <c r="B54" s="118"/>
      <c r="C54" s="117"/>
      <c r="D54" s="117"/>
      <c r="E54" s="117"/>
    </row>
    <row r="55" spans="1:5" ht="18.75">
      <c r="A55" s="118"/>
      <c r="B55" s="118"/>
      <c r="C55" s="117"/>
      <c r="D55" s="117"/>
      <c r="E55" s="117"/>
    </row>
    <row r="56" spans="1:5" ht="18.75">
      <c r="A56" s="118"/>
      <c r="B56" s="118"/>
      <c r="C56" s="117"/>
      <c r="D56" s="117"/>
      <c r="E56" s="117"/>
    </row>
    <row r="57" spans="1:5" ht="18.75">
      <c r="A57" s="118"/>
      <c r="B57" s="118"/>
      <c r="C57" s="117"/>
      <c r="D57" s="117"/>
      <c r="E57" s="117"/>
    </row>
    <row r="58" spans="1:5" ht="18.75">
      <c r="A58" s="118"/>
      <c r="B58" s="118"/>
      <c r="C58" s="117"/>
      <c r="D58" s="117"/>
      <c r="E58" s="117"/>
    </row>
    <row r="59" spans="1:5" ht="18.75">
      <c r="A59" s="118"/>
      <c r="B59" s="118"/>
      <c r="C59" s="117"/>
      <c r="D59" s="117"/>
      <c r="E59" s="117"/>
    </row>
    <row r="60" spans="1:5" ht="18.75">
      <c r="A60" s="118"/>
      <c r="B60" s="118"/>
      <c r="C60" s="117"/>
      <c r="D60" s="117"/>
      <c r="E60" s="117"/>
    </row>
    <row r="61" spans="1:5" ht="18.75">
      <c r="A61" s="118"/>
      <c r="B61" s="118"/>
      <c r="C61" s="117"/>
      <c r="D61" s="117"/>
      <c r="E61" s="117"/>
    </row>
    <row r="62" spans="3:5" ht="18.75">
      <c r="C62" s="117"/>
      <c r="D62" s="117"/>
      <c r="E62" s="117"/>
    </row>
    <row r="63" spans="3:5" ht="18.75">
      <c r="C63" s="117"/>
      <c r="D63" s="117"/>
      <c r="E63" s="117"/>
    </row>
    <row r="64" spans="3:5" ht="18.75">
      <c r="C64" s="117"/>
      <c r="D64" s="117"/>
      <c r="E64" s="117"/>
    </row>
    <row r="65" spans="3:5" ht="18.75">
      <c r="C65" s="117"/>
      <c r="D65" s="117"/>
      <c r="E65" s="117"/>
    </row>
    <row r="66" spans="3:5" ht="18.75">
      <c r="C66" s="117"/>
      <c r="D66" s="117"/>
      <c r="E66" s="117"/>
    </row>
    <row r="67" spans="3:5" ht="18.75">
      <c r="C67" s="117"/>
      <c r="D67" s="117"/>
      <c r="E67" s="117"/>
    </row>
    <row r="68" spans="3:5" ht="18.75">
      <c r="C68" s="117"/>
      <c r="D68" s="117"/>
      <c r="E68" s="117"/>
    </row>
    <row r="69" spans="3:5" ht="18.75">
      <c r="C69" s="117"/>
      <c r="D69" s="117"/>
      <c r="E69" s="117"/>
    </row>
    <row r="70" spans="3:5" ht="18.75">
      <c r="C70" s="117"/>
      <c r="D70" s="117"/>
      <c r="E70" s="117"/>
    </row>
    <row r="71" spans="3:5" ht="18.75">
      <c r="C71" s="117"/>
      <c r="D71" s="117"/>
      <c r="E71" s="117"/>
    </row>
    <row r="72" spans="3:5" ht="18.75">
      <c r="C72" s="117"/>
      <c r="D72" s="117"/>
      <c r="E72" s="117"/>
    </row>
    <row r="73" spans="3:5" ht="18.75">
      <c r="C73" s="117"/>
      <c r="D73" s="117"/>
      <c r="E73" s="117"/>
    </row>
    <row r="74" spans="3:5" ht="18.75">
      <c r="C74" s="117"/>
      <c r="D74" s="117"/>
      <c r="E74" s="117"/>
    </row>
    <row r="75" spans="3:5" ht="18.75">
      <c r="C75" s="117"/>
      <c r="D75" s="117"/>
      <c r="E75" s="117"/>
    </row>
    <row r="76" spans="3:5" ht="18.75">
      <c r="C76" s="117"/>
      <c r="D76" s="117"/>
      <c r="E76" s="117"/>
    </row>
    <row r="77" spans="3:5" ht="18.75">
      <c r="C77" s="117"/>
      <c r="D77" s="117"/>
      <c r="E77" s="117"/>
    </row>
    <row r="78" spans="3:5" ht="18.75">
      <c r="C78" s="117"/>
      <c r="D78" s="117"/>
      <c r="E78" s="117"/>
    </row>
    <row r="79" spans="3:5" ht="18.75">
      <c r="C79" s="117"/>
      <c r="D79" s="117"/>
      <c r="E79" s="117"/>
    </row>
    <row r="80" spans="3:5" ht="18.75">
      <c r="C80" s="117"/>
      <c r="D80" s="117"/>
      <c r="E80" s="117"/>
    </row>
    <row r="81" spans="3:5" ht="18.75">
      <c r="C81" s="117"/>
      <c r="D81" s="117"/>
      <c r="E81" s="117"/>
    </row>
    <row r="82" spans="3:5" ht="18.75">
      <c r="C82" s="117"/>
      <c r="D82" s="117"/>
      <c r="E82" s="117"/>
    </row>
    <row r="83" spans="3:5" ht="18.75">
      <c r="C83" s="117"/>
      <c r="D83" s="117"/>
      <c r="E83" s="117"/>
    </row>
    <row r="84" spans="3:5" ht="18.75">
      <c r="C84" s="117"/>
      <c r="D84" s="117"/>
      <c r="E84" s="117"/>
    </row>
    <row r="85" spans="3:5" ht="18.75">
      <c r="C85" s="117"/>
      <c r="D85" s="117"/>
      <c r="E85" s="117"/>
    </row>
    <row r="86" spans="3:5" ht="18.75">
      <c r="C86" s="117"/>
      <c r="D86" s="117"/>
      <c r="E86" s="117"/>
    </row>
    <row r="87" spans="3:5" ht="18.75">
      <c r="C87" s="117"/>
      <c r="D87" s="117"/>
      <c r="E87" s="117"/>
    </row>
    <row r="88" spans="3:5" ht="18.75">
      <c r="C88" s="117"/>
      <c r="D88" s="117"/>
      <c r="E88" s="117"/>
    </row>
    <row r="89" spans="3:5" ht="18.75">
      <c r="C89" s="117"/>
      <c r="D89" s="117"/>
      <c r="E89" s="117"/>
    </row>
    <row r="90" spans="3:5" ht="18.75">
      <c r="C90" s="117"/>
      <c r="D90" s="117"/>
      <c r="E90" s="117"/>
    </row>
    <row r="91" spans="3:5" ht="18.75">
      <c r="C91" s="117"/>
      <c r="D91" s="117"/>
      <c r="E91" s="117"/>
    </row>
    <row r="92" spans="3:5" ht="18.75">
      <c r="C92" s="117"/>
      <c r="D92" s="117"/>
      <c r="E92" s="117"/>
    </row>
    <row r="93" spans="4:5" ht="18.75">
      <c r="D93" s="117"/>
      <c r="E93" s="117"/>
    </row>
    <row r="94" spans="4:5" ht="18.75">
      <c r="D94" s="117"/>
      <c r="E94" s="117"/>
    </row>
    <row r="95" spans="4:5" ht="18.75">
      <c r="D95" s="117"/>
      <c r="E95" s="117"/>
    </row>
    <row r="96" spans="4:5" ht="18.75">
      <c r="D96" s="117"/>
      <c r="E96" s="117"/>
    </row>
    <row r="97" spans="4:5" ht="18.75">
      <c r="D97" s="117"/>
      <c r="E97" s="117"/>
    </row>
  </sheetData>
  <sheetProtection/>
  <mergeCells count="12">
    <mergeCell ref="C8:E8"/>
    <mergeCell ref="A2:E2"/>
    <mergeCell ref="C4:E4"/>
    <mergeCell ref="C5:E5"/>
    <mergeCell ref="C6:E6"/>
    <mergeCell ref="B43:C43"/>
    <mergeCell ref="B47:E48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40.5" customHeight="1">
      <c r="A2" s="182" t="s">
        <v>128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9</v>
      </c>
      <c r="D5" s="185"/>
      <c r="E5" s="185"/>
      <c r="F5" s="77"/>
    </row>
    <row r="6" spans="2:6" ht="19.5">
      <c r="B6" s="78" t="s">
        <v>2</v>
      </c>
      <c r="C6" s="184">
        <v>17806.24</v>
      </c>
      <c r="D6" s="185"/>
      <c r="E6" s="185"/>
      <c r="F6" s="77"/>
    </row>
    <row r="7" spans="2:6" ht="19.5">
      <c r="B7" s="78" t="s">
        <v>89</v>
      </c>
      <c r="C7" s="79">
        <v>1967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2038487.42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82620.95360000001</v>
      </c>
      <c r="D17" s="15">
        <v>4.64</v>
      </c>
      <c r="E17" s="15">
        <f>C17*12</f>
        <v>991451.4432000001</v>
      </c>
      <c r="F17" s="15">
        <f>C17*12</f>
        <v>991451.4432000001</v>
      </c>
      <c r="G17" s="40"/>
    </row>
    <row r="18" spans="1:7" ht="18.75">
      <c r="A18" s="95" t="s">
        <v>10</v>
      </c>
      <c r="B18" s="18" t="s">
        <v>11</v>
      </c>
      <c r="C18" s="15">
        <f>0.47*C6</f>
        <v>8368.9328</v>
      </c>
      <c r="D18" s="15">
        <v>0.47</v>
      </c>
      <c r="E18" s="15">
        <f>C18*12</f>
        <v>100427.1936</v>
      </c>
      <c r="F18" s="15">
        <f aca="true" t="shared" si="0" ref="F18:F27">C18*12</f>
        <v>100427.1936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0.07581611839445047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0.006233769734654817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385.20416666666665</v>
      </c>
      <c r="D21" s="15">
        <f>C21/C6</f>
        <v>0.021633099782248616</v>
      </c>
      <c r="E21" s="15">
        <f>C7*2.35</f>
        <v>4622.45</v>
      </c>
      <c r="F21" s="15">
        <f t="shared" si="0"/>
        <v>4622.45</v>
      </c>
      <c r="G21" s="3"/>
    </row>
    <row r="22" spans="1:7" ht="18.75">
      <c r="A22" s="104" t="s">
        <v>45</v>
      </c>
      <c r="B22" s="1" t="s">
        <v>85</v>
      </c>
      <c r="C22" s="15">
        <f>E22/12</f>
        <v>265.545</v>
      </c>
      <c r="D22" s="15">
        <f>C22/C7</f>
        <v>0.135</v>
      </c>
      <c r="E22" s="15">
        <f>C7*1.62</f>
        <v>3186.5400000000004</v>
      </c>
      <c r="F22" s="15">
        <f t="shared" si="0"/>
        <v>3186.54</v>
      </c>
      <c r="G22" s="3"/>
    </row>
    <row r="23" spans="1:7" s="105" customFormat="1" ht="18.75">
      <c r="A23" s="104"/>
      <c r="B23" s="1" t="s">
        <v>37</v>
      </c>
      <c r="C23" s="15">
        <f>C12*12%/12</f>
        <v>18162.3648</v>
      </c>
      <c r="D23" s="15">
        <f>C23/C6</f>
        <v>1.0199999999999998</v>
      </c>
      <c r="E23" s="3">
        <f>C12*12%</f>
        <v>217948.37759999998</v>
      </c>
      <c r="F23" s="15">
        <f t="shared" si="0"/>
        <v>217948.3776</v>
      </c>
      <c r="G23" s="3"/>
    </row>
    <row r="24" spans="1:7" ht="37.5">
      <c r="A24" s="104"/>
      <c r="B24" s="1" t="s">
        <v>83</v>
      </c>
      <c r="C24" s="15">
        <f>C12*0.9%/12</f>
        <v>1362.1773600000001</v>
      </c>
      <c r="D24" s="15">
        <f>C24/C6</f>
        <v>0.0765</v>
      </c>
      <c r="E24" s="3">
        <f>C12*0.9%</f>
        <v>16346.128320000002</v>
      </c>
      <c r="F24" s="15">
        <f t="shared" si="0"/>
        <v>16346.128320000002</v>
      </c>
      <c r="G24" s="3"/>
    </row>
    <row r="25" spans="1:7" s="105" customFormat="1" ht="18.75">
      <c r="A25" s="104"/>
      <c r="B25" s="1" t="s">
        <v>84</v>
      </c>
      <c r="C25" s="15">
        <f>C12*2.5%/12</f>
        <v>3783.8260000000005</v>
      </c>
      <c r="D25" s="15">
        <f>C25/C6</f>
        <v>0.2125</v>
      </c>
      <c r="E25" s="3">
        <f>C25*12</f>
        <v>45405.912000000004</v>
      </c>
      <c r="F25" s="15">
        <f t="shared" si="0"/>
        <v>45405.912000000004</v>
      </c>
      <c r="G25" s="3"/>
    </row>
    <row r="26" spans="1:7" s="107" customFormat="1" ht="18.75">
      <c r="A26" s="106"/>
      <c r="B26" s="48" t="s">
        <v>108</v>
      </c>
      <c r="C26" s="49">
        <f>E26/12</f>
        <v>1698.7395166666665</v>
      </c>
      <c r="D26" s="49">
        <f>E26/C6/12</f>
        <v>0.09540136023476413</v>
      </c>
      <c r="E26" s="50">
        <f>C9*1%</f>
        <v>20384.8742</v>
      </c>
      <c r="F26" s="15">
        <f t="shared" si="0"/>
        <v>20384.8742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118108.74324333333</v>
      </c>
      <c r="D28" s="14">
        <f>SUM(D17:D27)</f>
        <v>6.753084348146118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</v>
      </c>
      <c r="F31" s="91">
        <f>E31</f>
        <v>373271.9922800001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18.75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6.75" customHeight="1">
      <c r="A2" s="182" t="s">
        <v>129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9</v>
      </c>
      <c r="D5" s="185"/>
      <c r="E5" s="185"/>
      <c r="F5" s="77"/>
    </row>
    <row r="6" spans="2:6" ht="19.5">
      <c r="B6" s="78" t="s">
        <v>2</v>
      </c>
      <c r="C6" s="184">
        <v>17771.01</v>
      </c>
      <c r="D6" s="185"/>
      <c r="E6" s="185"/>
      <c r="F6" s="77"/>
    </row>
    <row r="7" spans="2:6" ht="19.5">
      <c r="B7" s="78" t="s">
        <v>89</v>
      </c>
      <c r="C7" s="79">
        <v>1953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2809697.96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1812643.02</v>
      </c>
      <c r="D12" s="66">
        <f>C12/12</f>
        <v>151053.585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82457.48639999998</v>
      </c>
      <c r="D17" s="15">
        <v>4.64</v>
      </c>
      <c r="E17" s="15">
        <f>C17*12</f>
        <v>989489.8367999997</v>
      </c>
      <c r="F17" s="15">
        <f>C17*12</f>
        <v>989489.8367999997</v>
      </c>
      <c r="G17" s="40"/>
    </row>
    <row r="18" spans="1:7" ht="18.75">
      <c r="A18" s="95" t="s">
        <v>10</v>
      </c>
      <c r="B18" s="18" t="s">
        <v>11</v>
      </c>
      <c r="C18" s="15">
        <f>0.47*C6</f>
        <v>8352.374699999998</v>
      </c>
      <c r="D18" s="15">
        <v>0.47</v>
      </c>
      <c r="E18" s="15">
        <f>C18*12</f>
        <v>100228.49639999997</v>
      </c>
      <c r="F18" s="15">
        <f aca="true" t="shared" si="0" ref="F18:F27">C18*12</f>
        <v>100228.49639999997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0.0759664194663106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0.006246127822785537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382.46250000000003</v>
      </c>
      <c r="D21" s="15">
        <f>C21/C6</f>
        <v>0.021521708670469493</v>
      </c>
      <c r="E21" s="15">
        <f>C7*2.35</f>
        <v>4589.55</v>
      </c>
      <c r="F21" s="15">
        <f t="shared" si="0"/>
        <v>4589.55</v>
      </c>
      <c r="G21" s="3"/>
    </row>
    <row r="22" spans="1:7" ht="18.75">
      <c r="A22" s="104" t="s">
        <v>45</v>
      </c>
      <c r="B22" s="1" t="s">
        <v>85</v>
      </c>
      <c r="C22" s="15">
        <f>E22/12</f>
        <v>263.65500000000003</v>
      </c>
      <c r="D22" s="15">
        <f>C22/C7</f>
        <v>0.135</v>
      </c>
      <c r="E22" s="15">
        <f>C7*1.62</f>
        <v>3163.86</v>
      </c>
      <c r="F22" s="15">
        <f t="shared" si="0"/>
        <v>3163.8600000000006</v>
      </c>
      <c r="G22" s="3"/>
    </row>
    <row r="23" spans="1:7" s="105" customFormat="1" ht="18.75">
      <c r="A23" s="104"/>
      <c r="B23" s="1" t="s">
        <v>37</v>
      </c>
      <c r="C23" s="15">
        <f>C12*12%/12</f>
        <v>18126.4302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04"/>
      <c r="B24" s="1" t="s">
        <v>83</v>
      </c>
      <c r="C24" s="15">
        <f>C12*0.9%/12</f>
        <v>1359.482265</v>
      </c>
      <c r="D24" s="15">
        <f>C24/C6</f>
        <v>0.07650000000000001</v>
      </c>
      <c r="E24" s="3">
        <f>C12*0.9%</f>
        <v>16313.787180000001</v>
      </c>
      <c r="F24" s="15">
        <f t="shared" si="0"/>
        <v>16313.787180000001</v>
      </c>
      <c r="G24" s="3"/>
    </row>
    <row r="25" spans="1:7" s="105" customFormat="1" ht="18.75">
      <c r="A25" s="104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07" customFormat="1" ht="18.75">
      <c r="A26" s="106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28096.9796</v>
      </c>
      <c r="F26" s="15">
        <f t="shared" si="0"/>
        <v>28096.9796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118520.64565666663</v>
      </c>
      <c r="D28" s="14">
        <f>SUM(D17:D27)</f>
        <v>6.789489005220674</v>
      </c>
      <c r="E28" s="14">
        <f>SUM(E17:E27)</f>
        <v>1422247.74788</v>
      </c>
      <c r="F28" s="14">
        <f>SUM(F17:F27)</f>
        <v>1422247.74788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</v>
      </c>
      <c r="F31" s="91">
        <f>E31</f>
        <v>364770.0959200001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5.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4">
      <selection activeCell="D37" sqref="D3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6.75" customHeight="1">
      <c r="A2" s="182" t="s">
        <v>130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3213.97</v>
      </c>
      <c r="D6" s="185"/>
      <c r="E6" s="185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1102737.78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14912.820799999998</v>
      </c>
      <c r="D17" s="15">
        <v>4.64</v>
      </c>
      <c r="E17" s="15">
        <f>C17*12</f>
        <v>178953.84959999996</v>
      </c>
      <c r="F17" s="15">
        <f>C17*12</f>
        <v>178953.84959999996</v>
      </c>
      <c r="G17" s="40"/>
    </row>
    <row r="18" spans="1:7" ht="18.75">
      <c r="A18" s="95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18126.7908</v>
      </c>
      <c r="F18" s="15">
        <f aca="true" t="shared" si="0" ref="F18:F27">C18*12</f>
        <v>18126.7908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0.03453672560727076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0.024982083425379414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3663.9257999999995</v>
      </c>
      <c r="D23" s="15">
        <f>C23/C6</f>
        <v>1.14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04"/>
      <c r="B24" s="1" t="s">
        <v>83</v>
      </c>
      <c r="C24" s="15">
        <f>C12*0.9%/12</f>
        <v>274.79443499999996</v>
      </c>
      <c r="D24" s="15">
        <f>C24/C6</f>
        <v>0.08549999999999999</v>
      </c>
      <c r="E24" s="3">
        <f>C12*0.9%</f>
        <v>3297.53322</v>
      </c>
      <c r="F24" s="15">
        <f t="shared" si="0"/>
        <v>3297.5332199999993</v>
      </c>
      <c r="G24" s="3"/>
    </row>
    <row r="25" spans="1:7" s="105" customFormat="1" ht="18.75">
      <c r="A25" s="104"/>
      <c r="B25" s="1" t="s">
        <v>84</v>
      </c>
      <c r="C25" s="15">
        <f>C12*2.5%/12</f>
        <v>763.3178749999998</v>
      </c>
      <c r="D25" s="15">
        <f>C25/C6</f>
        <v>0.23749999999999996</v>
      </c>
      <c r="E25" s="3">
        <f>C25*12</f>
        <v>9159.814499999999</v>
      </c>
      <c r="F25" s="15">
        <f t="shared" si="0"/>
        <v>9159.814499999999</v>
      </c>
      <c r="G25" s="3"/>
    </row>
    <row r="26" spans="1:7" s="107" customFormat="1" ht="18.75">
      <c r="A26" s="106"/>
      <c r="B26" s="48" t="s">
        <v>108</v>
      </c>
      <c r="C26" s="49">
        <f>E26/12</f>
        <v>918.94815</v>
      </c>
      <c r="D26" s="49">
        <f>E26/C6/12</f>
        <v>0.2859230639987306</v>
      </c>
      <c r="E26" s="50">
        <f>C9*1%</f>
        <v>11027.3778</v>
      </c>
      <c r="F26" s="15">
        <f t="shared" si="0"/>
        <v>11027.3778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23641.014626666667</v>
      </c>
      <c r="D28" s="14">
        <f>SUM(D17:D27)</f>
        <v>7.473483130417104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6513.164423333341</v>
      </c>
      <c r="D31" s="91">
        <f>C31/C6</f>
        <v>2.0265168695828963</v>
      </c>
      <c r="E31" s="91">
        <f>C31*12</f>
        <v>78157.97308000008</v>
      </c>
      <c r="F31" s="91">
        <f>E31</f>
        <v>78157.97308000008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66.7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4">
      <selection activeCell="D22" sqref="D22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3" t="s">
        <v>41</v>
      </c>
      <c r="F1" s="153"/>
      <c r="G1" s="153"/>
    </row>
    <row r="2" spans="1:7" ht="50.25" customHeight="1">
      <c r="A2" s="182" t="s">
        <v>100</v>
      </c>
      <c r="B2" s="182"/>
      <c r="C2" s="182"/>
      <c r="D2" s="182"/>
      <c r="E2" s="182"/>
      <c r="F2" s="182"/>
      <c r="G2" s="182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3" t="s">
        <v>101</v>
      </c>
      <c r="D4" s="168"/>
      <c r="E4" s="168"/>
      <c r="F4" s="74"/>
      <c r="G4" s="75"/>
    </row>
    <row r="5" spans="1:7" s="76" customFormat="1" ht="19.5">
      <c r="A5" s="72"/>
      <c r="B5" s="73" t="s">
        <v>1</v>
      </c>
      <c r="C5" s="184">
        <v>4</v>
      </c>
      <c r="D5" s="185"/>
      <c r="E5" s="185"/>
      <c r="F5" s="77"/>
      <c r="G5" s="75"/>
    </row>
    <row r="6" spans="1:7" s="76" customFormat="1" ht="19.5">
      <c r="A6" s="72"/>
      <c r="B6" s="78" t="s">
        <v>2</v>
      </c>
      <c r="C6" s="191">
        <v>2256.3</v>
      </c>
      <c r="D6" s="192"/>
      <c r="E6" s="192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78"/>
      <c r="D8" s="179"/>
      <c r="E8" s="18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ht="15">
      <c r="A13" s="189"/>
      <c r="B13" s="190"/>
      <c r="C13" s="190"/>
      <c r="D13" s="190"/>
      <c r="E13" s="156"/>
      <c r="F13" s="156"/>
      <c r="G13" s="156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40" t="s">
        <v>4</v>
      </c>
      <c r="B15" s="142" t="s">
        <v>5</v>
      </c>
      <c r="C15" s="144" t="s">
        <v>32</v>
      </c>
      <c r="D15" s="146" t="s">
        <v>43</v>
      </c>
      <c r="E15" s="147"/>
      <c r="F15" s="144" t="s">
        <v>80</v>
      </c>
      <c r="G15" s="148" t="s">
        <v>52</v>
      </c>
    </row>
    <row r="16" spans="1:7" ht="45" customHeight="1">
      <c r="A16" s="141"/>
      <c r="B16" s="143"/>
      <c r="C16" s="145"/>
      <c r="D16" s="37" t="s">
        <v>6</v>
      </c>
      <c r="E16" s="45" t="s">
        <v>42</v>
      </c>
      <c r="F16" s="145"/>
      <c r="G16" s="14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4.64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12725.532</v>
      </c>
      <c r="F18" s="15">
        <f aca="true" t="shared" si="0" ref="F18:F25">C18*12</f>
        <v>12725.532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0.5983246908655764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>E20/12</f>
        <v>83.5425</v>
      </c>
      <c r="D20" s="15">
        <f>C20/C6</f>
        <v>0.037026326286398084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57.59100000000001</v>
      </c>
      <c r="D21" s="15">
        <f>C21/C6</f>
        <v>0.02552453131232549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0.07650000000000003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</v>
      </c>
      <c r="D24" s="15">
        <f>C24/C6</f>
        <v>0.21250000000000002</v>
      </c>
      <c r="E24" s="3">
        <f>C24*12</f>
        <v>5753.565000000001</v>
      </c>
      <c r="F24" s="15">
        <f t="shared" si="0"/>
        <v>5753.565000000001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0.04599151634682149</v>
      </c>
      <c r="E25" s="50">
        <f>C9*1%</f>
        <v>1245.2479</v>
      </c>
      <c r="F25" s="15">
        <f t="shared" si="0"/>
        <v>1245.2479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</v>
      </c>
      <c r="F29" s="91">
        <f>C12-F26</f>
        <v>37205.47370000003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32"/>
      <c r="C46" s="133"/>
      <c r="D46" s="134"/>
      <c r="E46" s="135"/>
      <c r="F46" s="55"/>
      <c r="G46" s="14"/>
    </row>
    <row r="47" spans="1:6" ht="15">
      <c r="A47" s="24"/>
      <c r="B47" s="24"/>
      <c r="C47" s="25"/>
      <c r="D47" s="25"/>
      <c r="E47" s="25"/>
      <c r="F47" s="25"/>
    </row>
    <row r="48" spans="1:4" ht="20.25">
      <c r="A48" s="24"/>
      <c r="B48" s="136" t="s">
        <v>34</v>
      </c>
      <c r="C48" s="136"/>
      <c r="D48" s="26">
        <v>500</v>
      </c>
    </row>
    <row r="49" spans="1:6" ht="15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3"/>
      <c r="D50" s="30"/>
      <c r="E50" s="30"/>
      <c r="F50" s="30"/>
      <c r="G50" s="31"/>
    </row>
    <row r="51" spans="1:7" ht="15">
      <c r="A51" s="27"/>
      <c r="B51" s="30"/>
      <c r="C51" s="30"/>
      <c r="D51" s="30"/>
      <c r="E51" s="31"/>
      <c r="F51" s="6"/>
      <c r="G51" s="6"/>
    </row>
    <row r="52" spans="1:7" ht="15">
      <c r="A52" s="27"/>
      <c r="B52" s="186"/>
      <c r="C52" s="187"/>
      <c r="D52" s="187"/>
      <c r="E52" s="188"/>
      <c r="F52" s="6"/>
      <c r="G52" s="6"/>
    </row>
    <row r="53" spans="1:7" ht="52.5" customHeight="1">
      <c r="A53" s="27"/>
      <c r="B53" s="193" t="s">
        <v>95</v>
      </c>
      <c r="C53" s="194"/>
      <c r="D53" s="194"/>
      <c r="E53" s="19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6" ht="15">
      <c r="A55" s="24"/>
      <c r="B55" s="24"/>
      <c r="C55" s="35"/>
      <c r="D55" s="25"/>
      <c r="E55" s="25"/>
      <c r="F55" s="2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s="5" customFormat="1" ht="15">
      <c r="A61" s="34"/>
      <c r="B61" s="34"/>
      <c r="C61" s="35"/>
      <c r="D61" s="35"/>
      <c r="E61" s="35"/>
      <c r="F61" s="35"/>
    </row>
    <row r="62" spans="1:6" s="5" customFormat="1" ht="15">
      <c r="A62" s="34"/>
      <c r="B62" s="34"/>
      <c r="C62" s="35"/>
      <c r="D62" s="35"/>
      <c r="E62" s="35"/>
      <c r="F62" s="35"/>
    </row>
    <row r="63" spans="1:6" s="5" customFormat="1" ht="15">
      <c r="A63" s="34"/>
      <c r="B63" s="34"/>
      <c r="C63" s="35"/>
      <c r="D63" s="35"/>
      <c r="E63" s="35"/>
      <c r="F63" s="35"/>
    </row>
    <row r="64" spans="1:6" s="5" customFormat="1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4:6" ht="15">
      <c r="D98" s="35"/>
      <c r="E98" s="35"/>
      <c r="F98" s="35"/>
    </row>
    <row r="99" spans="4:6" ht="15">
      <c r="D99" s="35"/>
      <c r="E99" s="35"/>
      <c r="F99" s="35"/>
    </row>
    <row r="100" spans="4:6" ht="15">
      <c r="D100" s="35"/>
      <c r="E100" s="35"/>
      <c r="F100" s="35"/>
    </row>
    <row r="101" spans="4:6" ht="15">
      <c r="D101" s="35"/>
      <c r="E101" s="35"/>
      <c r="F101" s="35"/>
    </row>
    <row r="102" spans="4:6" ht="15">
      <c r="D102" s="35"/>
      <c r="E102" s="35"/>
      <c r="F102" s="35"/>
    </row>
  </sheetData>
  <sheetProtection/>
  <mergeCells count="18">
    <mergeCell ref="C6:E6"/>
    <mergeCell ref="E1:G1"/>
    <mergeCell ref="A2:G2"/>
    <mergeCell ref="C4:E4"/>
    <mergeCell ref="C5:E5"/>
    <mergeCell ref="B53:E53"/>
    <mergeCell ref="B46:C46"/>
    <mergeCell ref="D46:E46"/>
    <mergeCell ref="B48:C48"/>
    <mergeCell ref="F15:F16"/>
    <mergeCell ref="G15:G16"/>
    <mergeCell ref="C8:E8"/>
    <mergeCell ref="B52:E52"/>
    <mergeCell ref="A13:G13"/>
    <mergeCell ref="A15:A16"/>
    <mergeCell ref="B15:B16"/>
    <mergeCell ref="C15:C16"/>
    <mergeCell ref="D15:E15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3" t="s">
        <v>41</v>
      </c>
      <c r="F1" s="153"/>
      <c r="G1" s="153"/>
    </row>
    <row r="2" spans="1:7" ht="50.25" customHeight="1">
      <c r="A2" s="182" t="s">
        <v>105</v>
      </c>
      <c r="B2" s="182"/>
      <c r="C2" s="182"/>
      <c r="D2" s="182"/>
      <c r="E2" s="182"/>
      <c r="F2" s="182"/>
      <c r="G2" s="182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3" t="s">
        <v>107</v>
      </c>
      <c r="D4" s="168"/>
      <c r="E4" s="168"/>
      <c r="F4" s="74"/>
      <c r="G4" s="75"/>
    </row>
    <row r="5" spans="1:7" s="76" customFormat="1" ht="19.5">
      <c r="A5" s="72"/>
      <c r="B5" s="73" t="s">
        <v>1</v>
      </c>
      <c r="C5" s="184">
        <v>4</v>
      </c>
      <c r="D5" s="185"/>
      <c r="E5" s="185"/>
      <c r="F5" s="77"/>
      <c r="G5" s="75"/>
    </row>
    <row r="6" spans="1:7" s="76" customFormat="1" ht="19.5">
      <c r="A6" s="72"/>
      <c r="B6" s="78" t="s">
        <v>2</v>
      </c>
      <c r="C6" s="184">
        <v>7165.3</v>
      </c>
      <c r="D6" s="185"/>
      <c r="E6" s="18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78"/>
      <c r="D8" s="179"/>
      <c r="E8" s="180"/>
      <c r="F8" s="83"/>
      <c r="G8" s="75"/>
    </row>
    <row r="9" spans="1:7" s="76" customFormat="1" ht="18.75" customHeight="1">
      <c r="A9" s="72"/>
      <c r="B9" s="82" t="s">
        <v>91</v>
      </c>
      <c r="C9" s="84">
        <v>304200.31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680130.2760000001</v>
      </c>
      <c r="D12" s="66">
        <f>C12/12</f>
        <v>56677.52300000001</v>
      </c>
      <c r="E12" s="46"/>
      <c r="F12" s="72"/>
      <c r="G12" s="75"/>
    </row>
    <row r="13" spans="1:7" ht="15">
      <c r="A13" s="189"/>
      <c r="B13" s="190"/>
      <c r="C13" s="190"/>
      <c r="D13" s="190"/>
      <c r="E13" s="156"/>
      <c r="F13" s="156"/>
      <c r="G13" s="156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40" t="s">
        <v>4</v>
      </c>
      <c r="B15" s="142" t="s">
        <v>5</v>
      </c>
      <c r="C15" s="144" t="s">
        <v>32</v>
      </c>
      <c r="D15" s="146" t="s">
        <v>43</v>
      </c>
      <c r="E15" s="147"/>
      <c r="F15" s="144" t="s">
        <v>80</v>
      </c>
      <c r="G15" s="148" t="s">
        <v>52</v>
      </c>
    </row>
    <row r="16" spans="1:7" ht="45" customHeight="1">
      <c r="A16" s="141"/>
      <c r="B16" s="143"/>
      <c r="C16" s="145"/>
      <c r="D16" s="37" t="s">
        <v>6</v>
      </c>
      <c r="E16" s="45" t="s">
        <v>42</v>
      </c>
      <c r="F16" s="145"/>
      <c r="G16" s="149"/>
    </row>
    <row r="17" spans="1:7" ht="27" customHeight="1">
      <c r="A17" s="12" t="s">
        <v>7</v>
      </c>
      <c r="B17" s="13" t="s">
        <v>31</v>
      </c>
      <c r="C17" s="15">
        <f>D17*C6</f>
        <v>33246.992</v>
      </c>
      <c r="D17" s="15">
        <v>4.64</v>
      </c>
      <c r="E17" s="15">
        <f>C17*12</f>
        <v>398963.904</v>
      </c>
      <c r="F17" s="15">
        <f>C17*12</f>
        <v>398963.904</v>
      </c>
      <c r="G17" s="40"/>
    </row>
    <row r="18" spans="1:7" ht="18.75">
      <c r="A18" s="17" t="s">
        <v>10</v>
      </c>
      <c r="B18" s="18" t="s">
        <v>11</v>
      </c>
      <c r="C18" s="15">
        <f>0.47*C6</f>
        <v>3367.691</v>
      </c>
      <c r="D18" s="15">
        <v>0.47</v>
      </c>
      <c r="E18" s="15">
        <f>C18*12</f>
        <v>40412.292</v>
      </c>
      <c r="F18" s="15">
        <f aca="true" t="shared" si="0" ref="F18:F27">C18*12</f>
        <v>40412.292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>E20/12</f>
        <v>111</v>
      </c>
      <c r="D20" s="15">
        <f>C20/C6</f>
        <v>0.015491326252913346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>E21/12</f>
        <v>164.5</v>
      </c>
      <c r="D21" s="15">
        <f>C21/C6</f>
        <v>0.02295786638382203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0.015826273847570935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6801.30276</v>
      </c>
      <c r="D23" s="15">
        <f>C23/C6</f>
        <v>0.9491999999999999</v>
      </c>
      <c r="E23" s="3">
        <f>C12*12%</f>
        <v>81615.63312</v>
      </c>
      <c r="F23" s="15">
        <f t="shared" si="0"/>
        <v>81615.63312</v>
      </c>
      <c r="G23" s="3"/>
    </row>
    <row r="24" spans="1:7" ht="37.5">
      <c r="A24" s="2"/>
      <c r="B24" s="1" t="s">
        <v>83</v>
      </c>
      <c r="C24" s="15">
        <f>C12*0.9%/12</f>
        <v>510.0977070000001</v>
      </c>
      <c r="D24" s="15">
        <f>C24/C6</f>
        <v>0.07119000000000002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0.03537887573909443</v>
      </c>
      <c r="E26" s="50">
        <f>C9*1%</f>
        <v>3042.0031</v>
      </c>
      <c r="F26" s="15">
        <f t="shared" si="0"/>
        <v>3042.0031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</v>
      </c>
      <c r="E27" s="3">
        <f>C27*12</f>
        <v>45031.2</v>
      </c>
      <c r="F27" s="15">
        <f t="shared" si="0"/>
        <v>45031.2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51088.02180033333</v>
      </c>
      <c r="D28" s="14">
        <f>SUM(D17:D27)</f>
        <v>7.129920840764983</v>
      </c>
      <c r="E28" s="14">
        <f>SUM(E17:E27)</f>
        <v>613056.2616039999</v>
      </c>
      <c r="F28" s="14">
        <f>SUM(F17:F27)</f>
        <v>613056.2616039999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</v>
      </c>
      <c r="D31" s="91">
        <f>C31/C6</f>
        <v>0.7800791592350169</v>
      </c>
      <c r="E31" s="91">
        <f>C31*12</f>
        <v>67074.01439600001</v>
      </c>
      <c r="F31" s="91">
        <f>E31</f>
        <v>67074.01439600001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32"/>
      <c r="C48" s="133"/>
      <c r="D48" s="134"/>
      <c r="E48" s="135"/>
      <c r="F48" s="55"/>
      <c r="G48" s="14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136" t="s">
        <v>34</v>
      </c>
      <c r="C50" s="136"/>
      <c r="D50" s="26">
        <f>C52/100*88</f>
        <v>0</v>
      </c>
    </row>
    <row r="51" spans="1:6" ht="15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3"/>
      <c r="D52" s="30"/>
      <c r="E52" s="30"/>
      <c r="F52" s="30"/>
      <c r="G52" s="31"/>
    </row>
    <row r="53" spans="1:7" ht="18.75">
      <c r="A53" s="27"/>
      <c r="B53" s="95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 ht="15">
      <c r="A59" s="27"/>
      <c r="B59" s="30"/>
      <c r="C59" s="30"/>
      <c r="D59" s="30"/>
      <c r="E59" s="31"/>
      <c r="F59" s="6"/>
      <c r="G59" s="6"/>
    </row>
    <row r="60" spans="1:7" ht="15">
      <c r="A60" s="27"/>
      <c r="B60" s="186"/>
      <c r="C60" s="187"/>
      <c r="D60" s="187"/>
      <c r="E60" s="188"/>
      <c r="F60" s="6"/>
      <c r="G60" s="6"/>
    </row>
    <row r="61" spans="1:7" ht="52.5" customHeight="1">
      <c r="A61" s="27"/>
      <c r="B61" s="193" t="s">
        <v>95</v>
      </c>
      <c r="C61" s="194"/>
      <c r="D61" s="194"/>
      <c r="E61" s="19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6" ht="15">
      <c r="A63" s="24"/>
      <c r="B63" s="24"/>
      <c r="C63" s="35"/>
      <c r="D63" s="25"/>
      <c r="E63" s="25"/>
      <c r="F63" s="2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1:6" ht="15">
      <c r="A71" s="34"/>
      <c r="B71" s="34"/>
      <c r="C71" s="35"/>
      <c r="D71" s="35"/>
      <c r="E71" s="35"/>
      <c r="F71" s="35"/>
    </row>
    <row r="72" spans="1:6" ht="15">
      <c r="A72" s="34"/>
      <c r="B72" s="34"/>
      <c r="C72" s="35"/>
      <c r="D72" s="35"/>
      <c r="E72" s="35"/>
      <c r="F72" s="35"/>
    </row>
    <row r="73" spans="1:6" ht="15">
      <c r="A73" s="34"/>
      <c r="B73" s="34"/>
      <c r="C73" s="35"/>
      <c r="D73" s="35"/>
      <c r="E73" s="35"/>
      <c r="F73" s="35"/>
    </row>
    <row r="74" spans="1:6" ht="15">
      <c r="A74" s="34"/>
      <c r="B74" s="34"/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3:6" ht="15">
      <c r="C102" s="35"/>
      <c r="D102" s="35"/>
      <c r="E102" s="35"/>
      <c r="F102" s="35"/>
    </row>
    <row r="103" spans="3:6" ht="15">
      <c r="C103" s="35"/>
      <c r="D103" s="35"/>
      <c r="E103" s="35"/>
      <c r="F103" s="35"/>
    </row>
    <row r="104" spans="3:6" ht="15">
      <c r="C104" s="35"/>
      <c r="D104" s="35"/>
      <c r="E104" s="35"/>
      <c r="F104" s="35"/>
    </row>
    <row r="105" spans="3:6" ht="15">
      <c r="C105" s="35"/>
      <c r="D105" s="35"/>
      <c r="E105" s="35"/>
      <c r="F105" s="35"/>
    </row>
    <row r="106" spans="4:6" ht="15">
      <c r="D106" s="35"/>
      <c r="E106" s="35"/>
      <c r="F106" s="35"/>
    </row>
    <row r="107" spans="4:6" ht="15">
      <c r="D107" s="35"/>
      <c r="E107" s="35"/>
      <c r="F107" s="35"/>
    </row>
    <row r="108" spans="4:6" ht="15">
      <c r="D108" s="35"/>
      <c r="E108" s="35"/>
      <c r="F108" s="35"/>
    </row>
    <row r="109" spans="4:6" ht="15">
      <c r="D109" s="35"/>
      <c r="E109" s="35"/>
      <c r="F109" s="35"/>
    </row>
    <row r="110" spans="4:6" ht="15">
      <c r="D110" s="35"/>
      <c r="E110" s="35"/>
      <c r="F110" s="35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4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3.75" customHeight="1">
      <c r="A2" s="182" t="s">
        <v>106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9</v>
      </c>
      <c r="D5" s="185"/>
      <c r="E5" s="185"/>
      <c r="F5" s="77"/>
    </row>
    <row r="6" spans="2:6" ht="19.5">
      <c r="B6" s="78" t="s">
        <v>2</v>
      </c>
      <c r="C6" s="184">
        <v>18162.1</v>
      </c>
      <c r="D6" s="185"/>
      <c r="E6" s="185"/>
      <c r="F6" s="77"/>
    </row>
    <row r="7" spans="2:6" ht="19.5">
      <c r="B7" s="78" t="s">
        <v>89</v>
      </c>
      <c r="C7" s="79">
        <v>1890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1276985.93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84272.14399999999</v>
      </c>
      <c r="D17" s="15">
        <v>4.64</v>
      </c>
      <c r="E17" s="15">
        <f>C17*12</f>
        <v>1011265.7279999999</v>
      </c>
      <c r="F17" s="15">
        <f>C17*12</f>
        <v>1011265.7279999999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8536.186999999998</v>
      </c>
      <c r="D18" s="15">
        <v>0.47</v>
      </c>
      <c r="E18" s="15">
        <f>C18*12</f>
        <v>102434.24399999998</v>
      </c>
      <c r="F18" s="15">
        <f aca="true" t="shared" si="0" ref="F18:F27">C18*12</f>
        <v>102434.24399999998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0.07433061154822405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0.006111628060631756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370.125</v>
      </c>
      <c r="D21" s="15">
        <f>C21/C6</f>
        <v>0.02037897599947143</v>
      </c>
      <c r="E21" s="15">
        <f>C7*2.35</f>
        <v>4441.5</v>
      </c>
      <c r="F21" s="15">
        <f t="shared" si="0"/>
        <v>4441.5</v>
      </c>
      <c r="G21" s="3"/>
    </row>
    <row r="22" spans="1:7" ht="18.75">
      <c r="A22" s="104" t="s">
        <v>45</v>
      </c>
      <c r="B22" s="1" t="s">
        <v>85</v>
      </c>
      <c r="C22" s="15">
        <f>E22/12</f>
        <v>255.15</v>
      </c>
      <c r="D22" s="15">
        <f>C22/C6</f>
        <v>0.014048485582614347</v>
      </c>
      <c r="E22" s="15">
        <f>C7*1.62</f>
        <v>3061.8</v>
      </c>
      <c r="F22" s="15">
        <f t="shared" si="0"/>
        <v>3061.8</v>
      </c>
      <c r="G22" s="3"/>
    </row>
    <row r="23" spans="1:7" s="105" customFormat="1" ht="18.75">
      <c r="A23" s="104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04"/>
      <c r="B24" s="1" t="s">
        <v>83</v>
      </c>
      <c r="C24" s="15">
        <f>C12*0.9%/12</f>
        <v>1389.4006499999998</v>
      </c>
      <c r="D24" s="15">
        <f>C24/C6</f>
        <v>0.0765</v>
      </c>
      <c r="E24" s="3">
        <f>C12*0.9%</f>
        <v>16672.8078</v>
      </c>
      <c r="F24" s="15">
        <f t="shared" si="0"/>
        <v>16672.8078</v>
      </c>
      <c r="G24" s="3"/>
    </row>
    <row r="25" spans="1:7" s="105" customFormat="1" ht="18.75">
      <c r="A25" s="104"/>
      <c r="B25" s="1" t="s">
        <v>84</v>
      </c>
      <c r="C25" s="15">
        <f>C12*2.5%/12</f>
        <v>3859.4462499999995</v>
      </c>
      <c r="D25" s="15">
        <f>C25/C6</f>
        <v>0.2125</v>
      </c>
      <c r="E25" s="3">
        <f>C25*12</f>
        <v>46313.354999999996</v>
      </c>
      <c r="F25" s="15">
        <f t="shared" si="0"/>
        <v>46313.354999999996</v>
      </c>
      <c r="G25" s="3"/>
    </row>
    <row r="26" spans="1:7" s="107" customFormat="1" ht="18.75">
      <c r="A26" s="106"/>
      <c r="B26" s="48" t="s">
        <v>108</v>
      </c>
      <c r="C26" s="49">
        <f>E26/12</f>
        <v>1064.1549416666667</v>
      </c>
      <c r="D26" s="49">
        <f>E26/C6/12</f>
        <v>0.05859206488603558</v>
      </c>
      <c r="E26" s="50">
        <f>C9*1%</f>
        <v>12769.8593</v>
      </c>
      <c r="F26" s="15">
        <f t="shared" si="0"/>
        <v>12769.8593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123485.54984166664</v>
      </c>
      <c r="D28" s="14">
        <f>SUM(D17:D27)</f>
        <v>6.799078842296137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</v>
      </c>
      <c r="F31" s="91">
        <f>E31</f>
        <v>370707.6019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4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61:E61"/>
    <mergeCell ref="B48:C48"/>
    <mergeCell ref="D48:E48"/>
    <mergeCell ref="B50:C50"/>
    <mergeCell ref="B60:E60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6.75" customHeight="1">
      <c r="A2" s="182" t="s">
        <v>111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7</v>
      </c>
      <c r="D5" s="185"/>
      <c r="E5" s="185"/>
      <c r="F5" s="77"/>
    </row>
    <row r="6" spans="2:6" ht="19.5">
      <c r="B6" s="78" t="s">
        <v>2</v>
      </c>
      <c r="C6" s="184">
        <v>12392.69</v>
      </c>
      <c r="D6" s="185"/>
      <c r="E6" s="185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547658.41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1264054.3800000001</v>
      </c>
      <c r="D12" s="66">
        <f>C12/12</f>
        <v>105337.865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57502.0816</v>
      </c>
      <c r="D17" s="15">
        <v>4.64</v>
      </c>
      <c r="E17" s="15">
        <f>C17*12</f>
        <v>690024.9792</v>
      </c>
      <c r="F17" s="15">
        <f>C17*12</f>
        <v>690024.9792</v>
      </c>
      <c r="G17" s="40"/>
    </row>
    <row r="18" spans="1:7" ht="18.75">
      <c r="A18" s="95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69894.77160000001</v>
      </c>
      <c r="F18" s="15">
        <f aca="true" t="shared" si="0" ref="F18:F27">C18*12</f>
        <v>69894.77160000001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0.008956893136195613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0.02322941992416497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C22/C6</f>
        <v>0.016013472458360534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04"/>
      <c r="B24" s="1" t="s">
        <v>83</v>
      </c>
      <c r="C24" s="15">
        <f>C12*0.9%/12</f>
        <v>948.0407850000001</v>
      </c>
      <c r="D24" s="15">
        <f>C24/C6</f>
        <v>0.07650000000000001</v>
      </c>
      <c r="E24" s="3">
        <f>C12*0.9%</f>
        <v>11376.489420000002</v>
      </c>
      <c r="F24" s="15">
        <f t="shared" si="0"/>
        <v>11376.489420000002</v>
      </c>
      <c r="G24" s="3"/>
    </row>
    <row r="25" spans="1:7" s="105" customFormat="1" ht="18.75">
      <c r="A25" s="104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07" customFormat="1" ht="18.75">
      <c r="A26" s="106"/>
      <c r="B26" s="48" t="s">
        <v>108</v>
      </c>
      <c r="C26" s="49">
        <f>E26/12</f>
        <v>456.3820083333333</v>
      </c>
      <c r="D26" s="49">
        <f>E26/C6/12</f>
        <v>0.036826710611927944</v>
      </c>
      <c r="E26" s="50">
        <f>C9*1%</f>
        <v>5476.5841</v>
      </c>
      <c r="F26" s="15">
        <f t="shared" si="0"/>
        <v>5476.5841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0.302807542188177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85704.98411833333</v>
      </c>
      <c r="D28" s="14">
        <f>SUM(D17:D27)</f>
        <v>6.915769225110394</v>
      </c>
      <c r="E28" s="14">
        <f>SUM(E17:E27)</f>
        <v>1028459.80942</v>
      </c>
      <c r="F28" s="14">
        <f>SUM(F17:F27)</f>
        <v>1028459.80942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6.2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6.75" customHeight="1">
      <c r="A2" s="182" t="s">
        <v>112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5</v>
      </c>
      <c r="D5" s="185"/>
      <c r="E5" s="185"/>
      <c r="F5" s="77"/>
    </row>
    <row r="6" spans="2:6" ht="19.5">
      <c r="B6" s="78" t="s">
        <v>2</v>
      </c>
      <c r="C6" s="184">
        <v>9285.86</v>
      </c>
      <c r="D6" s="185"/>
      <c r="E6" s="185"/>
      <c r="F6" s="77"/>
    </row>
    <row r="7" spans="2:6" ht="19.5">
      <c r="B7" s="78" t="s">
        <v>89</v>
      </c>
      <c r="C7" s="79">
        <v>1050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1148962.56</v>
      </c>
      <c r="D9" s="85"/>
      <c r="E9" s="86"/>
      <c r="F9" s="83"/>
    </row>
    <row r="10" spans="2:5" ht="18.75">
      <c r="B10" s="87" t="s">
        <v>87</v>
      </c>
      <c r="C10" s="88">
        <v>9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1002872.8800000001</v>
      </c>
      <c r="D12" s="66">
        <f>C12/12</f>
        <v>83572.74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43086.3904</v>
      </c>
      <c r="D17" s="15">
        <v>4.64</v>
      </c>
      <c r="E17" s="15">
        <f>C17*12</f>
        <v>517036.68479999993</v>
      </c>
      <c r="F17" s="15">
        <f>C17*12</f>
        <v>517036.68479999993</v>
      </c>
      <c r="G17" s="40"/>
    </row>
    <row r="18" spans="1:7" ht="18.75">
      <c r="A18" s="95" t="s">
        <v>10</v>
      </c>
      <c r="B18" s="18" t="s">
        <v>11</v>
      </c>
      <c r="C18" s="15">
        <f>0.47*C6</f>
        <v>4364.3542</v>
      </c>
      <c r="D18" s="15">
        <v>0.47</v>
      </c>
      <c r="E18" s="15">
        <f>C18*12</f>
        <v>52372.2504</v>
      </c>
      <c r="F18" s="15">
        <f aca="true" t="shared" si="0" ref="F18:F27">C18*12</f>
        <v>52372.2504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0.1453823340002972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0.011953658573357772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205.625</v>
      </c>
      <c r="D21" s="15">
        <f>C21/C6</f>
        <v>0.022143883280600827</v>
      </c>
      <c r="E21" s="15">
        <f>C7*2.35</f>
        <v>2467.5</v>
      </c>
      <c r="F21" s="15">
        <f t="shared" si="0"/>
        <v>2467.5</v>
      </c>
      <c r="G21" s="3"/>
    </row>
    <row r="22" spans="1:7" ht="18.75">
      <c r="A22" s="104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05" customFormat="1" ht="18.75">
      <c r="A23" s="104"/>
      <c r="B23" s="1" t="s">
        <v>37</v>
      </c>
      <c r="C23" s="15">
        <f>C12*12%/12</f>
        <v>10028.7288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04"/>
      <c r="B24" s="1" t="s">
        <v>83</v>
      </c>
      <c r="C24" s="15">
        <f>C12*0.9%/12</f>
        <v>752.1546600000001</v>
      </c>
      <c r="D24" s="15">
        <f>C24/C6</f>
        <v>0.08100000000000002</v>
      </c>
      <c r="E24" s="3">
        <f>C12*0.9%</f>
        <v>9025.855920000002</v>
      </c>
      <c r="F24" s="15">
        <f t="shared" si="0"/>
        <v>9025.855920000002</v>
      </c>
      <c r="G24" s="3"/>
    </row>
    <row r="25" spans="1:7" s="105" customFormat="1" ht="18.75">
      <c r="A25" s="104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07" customFormat="1" ht="18.75">
      <c r="A26" s="106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0.4041198122737151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66839.39036</v>
      </c>
      <c r="D28" s="14">
        <f>SUM(D17:D27)</f>
        <v>7.365891835543502</v>
      </c>
      <c r="E28" s="14">
        <f>SUM(E17:E27)</f>
        <v>802072.68432</v>
      </c>
      <c r="F28" s="14">
        <f>SUM(F17:F27)</f>
        <v>802072.68432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63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6.75" customHeight="1">
      <c r="A2" s="182" t="s">
        <v>113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3183</v>
      </c>
      <c r="D6" s="185"/>
      <c r="E6" s="185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783008.28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14769.119999999999</v>
      </c>
      <c r="D17" s="15">
        <v>4.64</v>
      </c>
      <c r="E17" s="15">
        <f>C17*12</f>
        <v>177229.44</v>
      </c>
      <c r="F17" s="15">
        <f>C17*12</f>
        <v>177229.44</v>
      </c>
      <c r="G17" s="40"/>
    </row>
    <row r="18" spans="1:7" ht="18.75">
      <c r="A18" s="95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aca="true" t="shared" si="0" ref="F18:F27">C18*12</f>
        <v>17952.12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0.034872761545711596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0.025225154466436278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38959.92</v>
      </c>
      <c r="F23" s="15">
        <f t="shared" si="0"/>
        <v>38959.92</v>
      </c>
      <c r="G23" s="3"/>
    </row>
    <row r="24" spans="1:7" ht="37.5">
      <c r="A24" s="104"/>
      <c r="B24" s="1" t="s">
        <v>83</v>
      </c>
      <c r="C24" s="15">
        <f>C12*0.9%/12</f>
        <v>243.4995</v>
      </c>
      <c r="D24" s="15">
        <f>C24/C6</f>
        <v>0.0765</v>
      </c>
      <c r="E24" s="3">
        <f>C12*0.9%</f>
        <v>2921.994</v>
      </c>
      <c r="F24" s="15">
        <f t="shared" si="0"/>
        <v>2921.994</v>
      </c>
      <c r="G24" s="3"/>
    </row>
    <row r="25" spans="1:7" s="105" customFormat="1" ht="18.75">
      <c r="A25" s="104"/>
      <c r="B25" s="1" t="s">
        <v>84</v>
      </c>
      <c r="C25" s="15">
        <f>C12*2.5%/12</f>
        <v>676.3875</v>
      </c>
      <c r="D25" s="15">
        <f>C25/C6</f>
        <v>0.21250000000000002</v>
      </c>
      <c r="E25" s="3">
        <f>C25*12</f>
        <v>8116.650000000001</v>
      </c>
      <c r="F25" s="15">
        <f t="shared" si="0"/>
        <v>8116.650000000001</v>
      </c>
      <c r="G25" s="3"/>
    </row>
    <row r="26" spans="1:7" s="107" customFormat="1" ht="18.75">
      <c r="A26" s="106"/>
      <c r="B26" s="48" t="s">
        <v>108</v>
      </c>
      <c r="C26" s="49">
        <f>E26/12</f>
        <v>652.5069</v>
      </c>
      <c r="D26" s="49">
        <f>E26/C6/12</f>
        <v>0.20499745523091426</v>
      </c>
      <c r="E26" s="50">
        <f>C9*1%</f>
        <v>7830.0828</v>
      </c>
      <c r="F26" s="15">
        <f t="shared" si="0"/>
        <v>7830.0828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1.1789506754633992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26433.425566666665</v>
      </c>
      <c r="D28" s="14">
        <f>SUM(D17:D27)</f>
        <v>8.495845292700807</v>
      </c>
      <c r="E28" s="14">
        <f>SUM(E17:E27)</f>
        <v>317201.1068</v>
      </c>
      <c r="F28" s="14">
        <f>SUM(F17:F27)</f>
        <v>317201.1068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13.224433333331973</v>
      </c>
      <c r="D31" s="91">
        <f>C31/C6</f>
        <v>0.0041547072991932055</v>
      </c>
      <c r="E31" s="91">
        <f>C31*12</f>
        <v>158.69319999998368</v>
      </c>
      <c r="F31" s="91">
        <f>E31</f>
        <v>158.69319999998368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6.25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1" t="s">
        <v>41</v>
      </c>
      <c r="F1" s="181"/>
      <c r="G1" s="181"/>
    </row>
    <row r="2" spans="1:7" ht="37.5" customHeight="1">
      <c r="A2" s="182" t="s">
        <v>114</v>
      </c>
      <c r="B2" s="182"/>
      <c r="C2" s="182"/>
      <c r="D2" s="182"/>
      <c r="E2" s="182"/>
      <c r="F2" s="182"/>
      <c r="G2" s="182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3" t="s">
        <v>110</v>
      </c>
      <c r="D4" s="168"/>
      <c r="E4" s="168"/>
      <c r="F4" s="74"/>
    </row>
    <row r="5" spans="2:6" ht="19.5">
      <c r="B5" s="73" t="s">
        <v>1</v>
      </c>
      <c r="C5" s="184">
        <v>1</v>
      </c>
      <c r="D5" s="185"/>
      <c r="E5" s="185"/>
      <c r="F5" s="77"/>
    </row>
    <row r="6" spans="2:6" ht="19.5">
      <c r="B6" s="78" t="s">
        <v>2</v>
      </c>
      <c r="C6" s="184">
        <v>3259.2</v>
      </c>
      <c r="D6" s="185"/>
      <c r="E6" s="185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8"/>
      <c r="D8" s="179"/>
      <c r="E8" s="180"/>
      <c r="F8" s="83"/>
    </row>
    <row r="9" spans="2:6" ht="19.5">
      <c r="B9" s="82" t="s">
        <v>91</v>
      </c>
      <c r="C9" s="84">
        <v>310744.3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ht="18.75">
      <c r="A13" s="166"/>
      <c r="B13" s="167"/>
      <c r="C13" s="167"/>
      <c r="D13" s="167"/>
      <c r="E13" s="168"/>
      <c r="F13" s="168"/>
      <c r="G13" s="168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9" t="s">
        <v>4</v>
      </c>
      <c r="B15" s="142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75">
      <c r="A16" s="170"/>
      <c r="B16" s="143"/>
      <c r="C16" s="172"/>
      <c r="D16" s="94" t="s">
        <v>6</v>
      </c>
      <c r="E16" s="94" t="s">
        <v>42</v>
      </c>
      <c r="F16" s="172"/>
      <c r="G16" s="176"/>
    </row>
    <row r="17" spans="1:7" ht="18.75">
      <c r="A17" s="103" t="s">
        <v>7</v>
      </c>
      <c r="B17" s="13" t="s">
        <v>31</v>
      </c>
      <c r="C17" s="15">
        <f>D17*C6</f>
        <v>15122.687999999998</v>
      </c>
      <c r="D17" s="15">
        <v>4.64</v>
      </c>
      <c r="E17" s="15">
        <f>C17*12</f>
        <v>181472.256</v>
      </c>
      <c r="F17" s="15">
        <f>C17*12</f>
        <v>181472.256</v>
      </c>
      <c r="G17" s="40"/>
    </row>
    <row r="18" spans="1:7" ht="18.75">
      <c r="A18" s="95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18381.888</v>
      </c>
      <c r="F18" s="15">
        <f aca="true" t="shared" si="0" ref="F18:F27">C18*12</f>
        <v>18381.888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0.034057437407952876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0.024635391098019967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3715.488</v>
      </c>
      <c r="D23" s="15">
        <f>C23/C6</f>
        <v>1.14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04"/>
      <c r="B24" s="1" t="s">
        <v>83</v>
      </c>
      <c r="C24" s="15">
        <f>C12*0.9%/12</f>
        <v>278.6616</v>
      </c>
      <c r="D24" s="15">
        <f>C24/C6</f>
        <v>0.0855</v>
      </c>
      <c r="E24" s="3">
        <f>C12*0.9%</f>
        <v>3343.9392000000003</v>
      </c>
      <c r="F24" s="15">
        <f t="shared" si="0"/>
        <v>3343.9392000000003</v>
      </c>
      <c r="G24" s="3"/>
    </row>
    <row r="25" spans="1:7" s="105" customFormat="1" ht="18.75">
      <c r="A25" s="104"/>
      <c r="B25" s="1" t="s">
        <v>84</v>
      </c>
      <c r="C25" s="15">
        <f>C12*2.5%/12</f>
        <v>774.06</v>
      </c>
      <c r="D25" s="15">
        <f>C25/C6</f>
        <v>0.2375</v>
      </c>
      <c r="E25" s="3">
        <f>C25*12</f>
        <v>9288.72</v>
      </c>
      <c r="F25" s="15">
        <f t="shared" si="0"/>
        <v>9288.72</v>
      </c>
      <c r="G25" s="3"/>
    </row>
    <row r="26" spans="1:7" s="107" customFormat="1" ht="18.75">
      <c r="A26" s="106"/>
      <c r="B26" s="48" t="s">
        <v>108</v>
      </c>
      <c r="C26" s="49">
        <f>E26/12</f>
        <v>258.9535833333333</v>
      </c>
      <c r="D26" s="49">
        <f>E26/C6/12</f>
        <v>0.07945311221567665</v>
      </c>
      <c r="E26" s="50">
        <f>C9*1%</f>
        <v>3107.4429999999998</v>
      </c>
      <c r="F26" s="15">
        <f t="shared" si="0"/>
        <v>3107.4429999999998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1.1513868433971528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27030.916849999998</v>
      </c>
      <c r="D28" s="14">
        <f>SUM(D17:D27)</f>
        <v>8.411744860702012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3546.841150000004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2"/>
      <c r="C48" s="177"/>
      <c r="D48" s="134"/>
      <c r="E48" s="135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9" t="s">
        <v>34</v>
      </c>
      <c r="C50" s="159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60"/>
      <c r="C60" s="161"/>
      <c r="D60" s="161"/>
      <c r="E60" s="162"/>
      <c r="F60" s="76"/>
      <c r="G60" s="76"/>
    </row>
    <row r="61" spans="1:7" ht="54" customHeight="1">
      <c r="A61" s="114"/>
      <c r="B61" s="163" t="s">
        <v>95</v>
      </c>
      <c r="C61" s="164"/>
      <c r="D61" s="164"/>
      <c r="E61" s="165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2020-12-08T04:34:46Z</dcterms:modified>
  <cp:category/>
  <cp:version/>
  <cp:contentType/>
  <cp:contentStatus/>
</cp:coreProperties>
</file>